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Description" sheetId="3" r:id="rId1"/>
    <sheet name="Env. and bio. parameters" sheetId="1" r:id="rId2"/>
    <sheet name="Geochemical data" sheetId="2" r:id="rId3"/>
    <sheet name="Equation comparison" sheetId="4" r:id="rId4"/>
    <sheet name="T offset per dataset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5" l="1"/>
  <c r="E20" i="5" l="1"/>
  <c r="E19" i="5"/>
  <c r="E16" i="5"/>
  <c r="E15" i="5"/>
  <c r="E12" i="5"/>
  <c r="E11" i="5"/>
  <c r="E8" i="5"/>
  <c r="E7" i="5"/>
  <c r="E4" i="5"/>
  <c r="E3" i="5"/>
  <c r="D20" i="5"/>
  <c r="D19" i="5"/>
  <c r="D16" i="5"/>
  <c r="D15" i="5"/>
  <c r="D12" i="5"/>
  <c r="D11" i="5"/>
  <c r="D8" i="5"/>
  <c r="D7" i="5"/>
  <c r="D4" i="5"/>
  <c r="D3" i="5"/>
  <c r="C20" i="5"/>
  <c r="C19" i="5"/>
  <c r="C16" i="5"/>
  <c r="C15" i="5"/>
  <c r="C12" i="5"/>
  <c r="C11" i="5"/>
  <c r="C8" i="5"/>
  <c r="C7" i="5"/>
  <c r="C4" i="5"/>
  <c r="C3" i="5"/>
  <c r="B20" i="5"/>
  <c r="B15" i="5"/>
  <c r="AB38" i="4"/>
  <c r="AB37" i="4"/>
  <c r="AB36" i="4"/>
  <c r="AB35" i="4"/>
  <c r="AB34" i="4"/>
  <c r="AB33" i="4"/>
  <c r="AB32" i="4"/>
  <c r="AB31" i="4"/>
  <c r="AB30" i="4"/>
  <c r="AB29" i="4"/>
  <c r="AB28" i="4"/>
  <c r="AB27" i="4"/>
  <c r="AB26" i="4"/>
  <c r="AB25" i="4"/>
  <c r="AB24" i="4"/>
  <c r="AB23" i="4"/>
  <c r="AB22" i="4"/>
  <c r="AB21" i="4"/>
  <c r="AB20" i="4"/>
  <c r="AB19" i="4"/>
  <c r="AB18" i="4"/>
  <c r="AB17" i="4"/>
  <c r="AB16" i="4"/>
  <c r="AB15" i="4"/>
  <c r="AB14" i="4"/>
  <c r="AB13" i="4"/>
  <c r="AB12" i="4"/>
  <c r="AB11" i="4"/>
  <c r="AB10" i="4"/>
  <c r="AB9" i="4"/>
  <c r="AB8" i="4"/>
  <c r="AB7" i="4"/>
  <c r="AB6" i="4"/>
  <c r="AB5" i="4"/>
  <c r="AB4" i="4"/>
  <c r="AB3" i="4"/>
  <c r="AB2" i="4"/>
  <c r="AA3" i="4"/>
  <c r="AA4" i="4"/>
  <c r="AC4" i="4" s="1"/>
  <c r="AA5" i="4"/>
  <c r="AA6" i="4"/>
  <c r="AA7" i="4"/>
  <c r="AA8" i="4"/>
  <c r="AA9" i="4"/>
  <c r="AA10" i="4"/>
  <c r="AC10" i="4" s="1"/>
  <c r="AA11" i="4"/>
  <c r="AA12" i="4"/>
  <c r="AC12" i="4" s="1"/>
  <c r="AA13" i="4"/>
  <c r="AA14" i="4"/>
  <c r="AA15" i="4"/>
  <c r="AA16" i="4"/>
  <c r="AC16" i="4" s="1"/>
  <c r="AA17" i="4"/>
  <c r="AA18" i="4"/>
  <c r="AA19" i="4"/>
  <c r="AA20" i="4"/>
  <c r="AC20" i="4" s="1"/>
  <c r="AA21" i="4"/>
  <c r="AA22" i="4"/>
  <c r="AA23" i="4"/>
  <c r="AA24" i="4"/>
  <c r="AA25" i="4"/>
  <c r="AA26" i="4"/>
  <c r="AC26" i="4" s="1"/>
  <c r="AA27" i="4"/>
  <c r="AA28" i="4"/>
  <c r="AC28" i="4" s="1"/>
  <c r="AA29" i="4"/>
  <c r="AA30" i="4"/>
  <c r="AA31" i="4"/>
  <c r="AA32" i="4"/>
  <c r="AC32" i="4" s="1"/>
  <c r="AA33" i="4"/>
  <c r="AA34" i="4"/>
  <c r="AA35" i="4"/>
  <c r="AA36" i="4"/>
  <c r="AC36" i="4" s="1"/>
  <c r="AA37" i="4"/>
  <c r="AA38" i="4"/>
  <c r="AA2" i="4"/>
  <c r="AC2" i="4" s="1"/>
  <c r="V3" i="4"/>
  <c r="X3" i="4" s="1"/>
  <c r="V4" i="4"/>
  <c r="X4" i="4" s="1"/>
  <c r="V5" i="4"/>
  <c r="V6" i="4"/>
  <c r="V7" i="4"/>
  <c r="V8" i="4"/>
  <c r="V9" i="4"/>
  <c r="V10" i="4"/>
  <c r="V11" i="4"/>
  <c r="V12" i="4"/>
  <c r="X12" i="4" s="1"/>
  <c r="V13" i="4"/>
  <c r="V14" i="4"/>
  <c r="X14" i="4" s="1"/>
  <c r="V15" i="4"/>
  <c r="V16" i="4"/>
  <c r="X16" i="4" s="1"/>
  <c r="V17" i="4"/>
  <c r="V18" i="4"/>
  <c r="V19" i="4"/>
  <c r="V20" i="4"/>
  <c r="X20" i="4" s="1"/>
  <c r="V21" i="4"/>
  <c r="V22" i="4"/>
  <c r="X22" i="4" s="1"/>
  <c r="V23" i="4"/>
  <c r="V24" i="4"/>
  <c r="X24" i="4" s="1"/>
  <c r="V25" i="4"/>
  <c r="V26" i="4"/>
  <c r="X26" i="4" s="1"/>
  <c r="V27" i="4"/>
  <c r="X27" i="4" s="1"/>
  <c r="V28" i="4"/>
  <c r="X28" i="4" s="1"/>
  <c r="V29" i="4"/>
  <c r="V30" i="4"/>
  <c r="V31" i="4"/>
  <c r="V32" i="4"/>
  <c r="V33" i="4"/>
  <c r="V34" i="4"/>
  <c r="V35" i="4"/>
  <c r="X35" i="4" s="1"/>
  <c r="V36" i="4"/>
  <c r="X36" i="4" s="1"/>
  <c r="V37" i="4"/>
  <c r="V38" i="4"/>
  <c r="X38" i="4" s="1"/>
  <c r="Q3" i="4"/>
  <c r="S3" i="4" s="1"/>
  <c r="Q4" i="4"/>
  <c r="Q5" i="4"/>
  <c r="Q6" i="4"/>
  <c r="Q7" i="4"/>
  <c r="Q8" i="4"/>
  <c r="S8" i="4" s="1"/>
  <c r="Q9" i="4"/>
  <c r="Q10" i="4"/>
  <c r="Q11" i="4"/>
  <c r="S11" i="4" s="1"/>
  <c r="Q12" i="4"/>
  <c r="S12" i="4" s="1"/>
  <c r="Q13" i="4"/>
  <c r="Q14" i="4"/>
  <c r="Q15" i="4"/>
  <c r="Q16" i="4"/>
  <c r="Q17" i="4"/>
  <c r="Q18" i="4"/>
  <c r="S18" i="4" s="1"/>
  <c r="Q19" i="4"/>
  <c r="S19" i="4" s="1"/>
  <c r="Q20" i="4"/>
  <c r="S20" i="4" s="1"/>
  <c r="Q21" i="4"/>
  <c r="Q22" i="4"/>
  <c r="Q23" i="4"/>
  <c r="Q24" i="4"/>
  <c r="S24" i="4" s="1"/>
  <c r="Q25" i="4"/>
  <c r="Q26" i="4"/>
  <c r="Q27" i="4"/>
  <c r="S27" i="4" s="1"/>
  <c r="Q28" i="4"/>
  <c r="S28" i="4" s="1"/>
  <c r="Q29" i="4"/>
  <c r="Q30" i="4"/>
  <c r="Q31" i="4"/>
  <c r="Q32" i="4"/>
  <c r="S32" i="4" s="1"/>
  <c r="Q33" i="4"/>
  <c r="Q34" i="4"/>
  <c r="Q35" i="4"/>
  <c r="Q36" i="4"/>
  <c r="S36" i="4" s="1"/>
  <c r="Q37" i="4"/>
  <c r="Q38" i="4"/>
  <c r="Q2" i="4"/>
  <c r="S2" i="4" s="1"/>
  <c r="S37" i="4"/>
  <c r="S33" i="4"/>
  <c r="S29" i="4"/>
  <c r="S23" i="4"/>
  <c r="S22" i="4"/>
  <c r="S21" i="4"/>
  <c r="S17" i="4"/>
  <c r="S15" i="4"/>
  <c r="S14" i="4"/>
  <c r="S13" i="4"/>
  <c r="S9" i="4"/>
  <c r="S7" i="4"/>
  <c r="S6" i="4"/>
  <c r="S5" i="4"/>
  <c r="X11" i="4"/>
  <c r="X15" i="4"/>
  <c r="X31" i="4"/>
  <c r="X32" i="4"/>
  <c r="X34" i="4"/>
  <c r="S16" i="4"/>
  <c r="S25" i="4"/>
  <c r="S30" i="4"/>
  <c r="X10" i="4"/>
  <c r="X18" i="4"/>
  <c r="X19" i="4"/>
  <c r="V2" i="4"/>
  <c r="X2" i="4" s="1"/>
  <c r="W38" i="4"/>
  <c r="W37" i="4"/>
  <c r="W36" i="4"/>
  <c r="W35" i="4"/>
  <c r="W34" i="4"/>
  <c r="W33" i="4"/>
  <c r="W32" i="4"/>
  <c r="W31" i="4"/>
  <c r="W30" i="4"/>
  <c r="W29" i="4"/>
  <c r="W28" i="4"/>
  <c r="W27" i="4"/>
  <c r="W26" i="4"/>
  <c r="W25" i="4"/>
  <c r="W24" i="4"/>
  <c r="W23" i="4"/>
  <c r="W22" i="4"/>
  <c r="W21" i="4"/>
  <c r="W20" i="4"/>
  <c r="W19" i="4"/>
  <c r="W18" i="4"/>
  <c r="W17" i="4"/>
  <c r="W16" i="4"/>
  <c r="W15" i="4"/>
  <c r="W14" i="4"/>
  <c r="W13" i="4"/>
  <c r="W12" i="4"/>
  <c r="W11" i="4"/>
  <c r="W10" i="4"/>
  <c r="W9" i="4"/>
  <c r="W8" i="4"/>
  <c r="W7" i="4"/>
  <c r="W6" i="4"/>
  <c r="W5" i="4"/>
  <c r="W4" i="4"/>
  <c r="W3" i="4"/>
  <c r="W2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R7" i="4"/>
  <c r="R6" i="4"/>
  <c r="R5" i="4"/>
  <c r="R4" i="4"/>
  <c r="R3" i="4"/>
  <c r="R2" i="4"/>
  <c r="M5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6" i="4"/>
  <c r="M4" i="4"/>
  <c r="M3" i="4"/>
  <c r="M2" i="4"/>
  <c r="S4" i="4"/>
  <c r="S31" i="4"/>
  <c r="S35" i="4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2" i="4"/>
  <c r="Z3" i="4"/>
  <c r="AC3" i="4" s="1"/>
  <c r="Z4" i="4"/>
  <c r="Z5" i="4"/>
  <c r="AC5" i="4" s="1"/>
  <c r="Z6" i="4"/>
  <c r="AC6" i="4"/>
  <c r="Z7" i="4"/>
  <c r="Z8" i="4"/>
  <c r="AC8" i="4"/>
  <c r="Z9" i="4"/>
  <c r="AC9" i="4" s="1"/>
  <c r="Z10" i="4"/>
  <c r="Z11" i="4"/>
  <c r="Z12" i="4"/>
  <c r="Z13" i="4"/>
  <c r="AC13" i="4" s="1"/>
  <c r="Z14" i="4"/>
  <c r="AC14" i="4"/>
  <c r="Z15" i="4"/>
  <c r="Z16" i="4"/>
  <c r="Z17" i="4"/>
  <c r="AC17" i="4" s="1"/>
  <c r="Z18" i="4"/>
  <c r="AC18" i="4"/>
  <c r="Z19" i="4"/>
  <c r="AC19" i="4" s="1"/>
  <c r="Z20" i="4"/>
  <c r="Z21" i="4"/>
  <c r="AC21" i="4" s="1"/>
  <c r="Z22" i="4"/>
  <c r="AC22" i="4"/>
  <c r="Z23" i="4"/>
  <c r="Z24" i="4"/>
  <c r="AC24" i="4"/>
  <c r="Z25" i="4"/>
  <c r="AC25" i="4" s="1"/>
  <c r="Z26" i="4"/>
  <c r="Z27" i="4"/>
  <c r="Z28" i="4"/>
  <c r="Z29" i="4"/>
  <c r="AC29" i="4" s="1"/>
  <c r="Z30" i="4"/>
  <c r="AC30" i="4"/>
  <c r="Z31" i="4"/>
  <c r="Z32" i="4"/>
  <c r="Z33" i="4"/>
  <c r="AC33" i="4" s="1"/>
  <c r="Z34" i="4"/>
  <c r="AC34" i="4"/>
  <c r="Z35" i="4"/>
  <c r="AC35" i="4" s="1"/>
  <c r="Z36" i="4"/>
  <c r="Z37" i="4"/>
  <c r="AC37" i="4" s="1"/>
  <c r="Z38" i="4"/>
  <c r="AC38" i="4"/>
  <c r="Z2" i="4"/>
  <c r="X5" i="4"/>
  <c r="X6" i="4"/>
  <c r="X7" i="4"/>
  <c r="X8" i="4"/>
  <c r="X9" i="4"/>
  <c r="X13" i="4"/>
  <c r="X17" i="4"/>
  <c r="X21" i="4"/>
  <c r="X23" i="4"/>
  <c r="X25" i="4"/>
  <c r="X29" i="4"/>
  <c r="X30" i="4"/>
  <c r="X33" i="4"/>
  <c r="X37" i="4"/>
  <c r="U3" i="4"/>
  <c r="U4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2" i="4"/>
  <c r="S10" i="4"/>
  <c r="S26" i="4"/>
  <c r="S34" i="4"/>
  <c r="S38" i="4"/>
  <c r="P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2" i="4"/>
  <c r="N3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2" i="4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2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2" i="4"/>
  <c r="AC23" i="4" l="1"/>
  <c r="AC7" i="4"/>
  <c r="AC11" i="4"/>
  <c r="AC27" i="4"/>
  <c r="AC31" i="4"/>
  <c r="AC15" i="4"/>
  <c r="B12" i="5"/>
  <c r="B11" i="5"/>
  <c r="B19" i="5"/>
  <c r="B4" i="5"/>
  <c r="B7" i="5"/>
  <c r="B8" i="5"/>
  <c r="B3" i="5"/>
  <c r="M38" i="2"/>
  <c r="M37" i="2"/>
  <c r="M36" i="2"/>
  <c r="M35" i="2"/>
  <c r="M34" i="2"/>
  <c r="M33" i="2"/>
  <c r="M32" i="2"/>
  <c r="M31" i="2"/>
  <c r="M30" i="2"/>
  <c r="K31" i="1"/>
  <c r="K32" i="1"/>
  <c r="K30" i="1"/>
  <c r="K34" i="1"/>
  <c r="K35" i="1"/>
  <c r="K36" i="1"/>
  <c r="K37" i="1"/>
  <c r="K38" i="1"/>
  <c r="K33" i="1"/>
  <c r="M29" i="2"/>
  <c r="M28" i="2"/>
  <c r="M27" i="2"/>
  <c r="M26" i="2"/>
  <c r="M25" i="2"/>
  <c r="K26" i="1"/>
  <c r="K27" i="1"/>
  <c r="K28" i="1"/>
  <c r="K29" i="1"/>
  <c r="K25" i="1"/>
  <c r="M23" i="2"/>
  <c r="M24" i="2"/>
  <c r="K24" i="1"/>
  <c r="K23" i="1"/>
  <c r="K21" i="2"/>
  <c r="K22" i="2"/>
  <c r="K20" i="2"/>
  <c r="J21" i="2"/>
  <c r="J22" i="2"/>
  <c r="J20" i="2"/>
  <c r="K22" i="1"/>
  <c r="K21" i="1"/>
  <c r="K20" i="1"/>
  <c r="M19" i="2"/>
  <c r="M18" i="2"/>
  <c r="M17" i="2"/>
  <c r="K19" i="1"/>
  <c r="K18" i="1"/>
  <c r="K17" i="1"/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2" i="2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<sst xmlns="http://schemas.openxmlformats.org/spreadsheetml/2006/main" count="554" uniqueCount="157">
  <si>
    <t>Sample</t>
  </si>
  <si>
    <t>Identification</t>
  </si>
  <si>
    <t>Order</t>
  </si>
  <si>
    <t>Suborder (for terebratulida)</t>
  </si>
  <si>
    <t>Source</t>
  </si>
  <si>
    <t>Geographic location</t>
  </si>
  <si>
    <t>MAT (°C)</t>
  </si>
  <si>
    <t>max T (°C)</t>
  </si>
  <si>
    <t>min T (°C)</t>
  </si>
  <si>
    <t>Salinity</t>
  </si>
  <si>
    <t>d18Osw database</t>
  </si>
  <si>
    <t>d18Osw measured</t>
  </si>
  <si>
    <t>d13C (VPDB)</t>
  </si>
  <si>
    <t>d18O (VPDB)</t>
  </si>
  <si>
    <t>D47 (CDES 25)</t>
  </si>
  <si>
    <t>D47 (CDES 90)</t>
  </si>
  <si>
    <t>D47 (I-CDES)</t>
  </si>
  <si>
    <t>N</t>
  </si>
  <si>
    <t>sterror</t>
  </si>
  <si>
    <t>ChHP1</t>
  </si>
  <si>
    <t>D487L</t>
  </si>
  <si>
    <t>S006L</t>
  </si>
  <si>
    <t>PA.01</t>
  </si>
  <si>
    <t>TC.01</t>
  </si>
  <si>
    <t>DA5.25.1</t>
  </si>
  <si>
    <t>DA5.25.2</t>
  </si>
  <si>
    <t>DS288L</t>
  </si>
  <si>
    <t>DS420L</t>
  </si>
  <si>
    <t>DS430L</t>
  </si>
  <si>
    <t>DS431L</t>
  </si>
  <si>
    <t>GS183L</t>
  </si>
  <si>
    <t>NN2V</t>
  </si>
  <si>
    <t>Bajnai et al., 2018</t>
  </si>
  <si>
    <t>Magellania venosa</t>
  </si>
  <si>
    <t>Hemithiris psittacea</t>
  </si>
  <si>
    <t>Terebratalia transversa</t>
  </si>
  <si>
    <t>Pajaudina atlantica</t>
  </si>
  <si>
    <t>Thecidellina congregata</t>
  </si>
  <si>
    <t>Argyrotheca sp.</t>
  </si>
  <si>
    <t>Megerlia sp.</t>
  </si>
  <si>
    <t>Terebratella sanguinea</t>
  </si>
  <si>
    <t>Calloria inconspicua</t>
  </si>
  <si>
    <t>Liothyrella neozelanica</t>
  </si>
  <si>
    <t>Notosaria nigricans</t>
  </si>
  <si>
    <t>Terebratulida</t>
  </si>
  <si>
    <t>Terebratellidina</t>
  </si>
  <si>
    <t>Rhynchonellida</t>
  </si>
  <si>
    <t>Terebratulidina</t>
  </si>
  <si>
    <t>Thecideida</t>
  </si>
  <si>
    <t>Chile</t>
  </si>
  <si>
    <t>Hudson</t>
  </si>
  <si>
    <t>San Juan</t>
  </si>
  <si>
    <t>Canary</t>
  </si>
  <si>
    <t>Palau</t>
  </si>
  <si>
    <t>Egypt</t>
  </si>
  <si>
    <t>New Zealand</t>
  </si>
  <si>
    <t>Bajnai et al., 2018; Fiebig et al., 2021</t>
  </si>
  <si>
    <t>WB5</t>
  </si>
  <si>
    <t>WB6</t>
  </si>
  <si>
    <t>WB8</t>
  </si>
  <si>
    <t>Letulle et al., (this study)</t>
  </si>
  <si>
    <t>FTD1</t>
  </si>
  <si>
    <t>SAMID10116</t>
  </si>
  <si>
    <t>WMF1</t>
  </si>
  <si>
    <t>Terebratella dorsata</t>
  </si>
  <si>
    <t>Glaciarcula spitzbergensis</t>
  </si>
  <si>
    <t>Magellania fragilis</t>
  </si>
  <si>
    <t>Falkland</t>
  </si>
  <si>
    <t>Svalbard</t>
  </si>
  <si>
    <t>Antarctica</t>
  </si>
  <si>
    <t>Liothyrella uva</t>
  </si>
  <si>
    <t>MFRA-CEA</t>
  </si>
  <si>
    <t>LUVA-PAL</t>
  </si>
  <si>
    <t>Aerothyris kerguelenensis</t>
  </si>
  <si>
    <t>Crozet</t>
  </si>
  <si>
    <t>WB4A</t>
  </si>
  <si>
    <t>WB4B</t>
  </si>
  <si>
    <t>AKER-52</t>
  </si>
  <si>
    <t>AKER-68</t>
  </si>
  <si>
    <t>AKER-61</t>
  </si>
  <si>
    <t>Stenosarina crosnieri</t>
  </si>
  <si>
    <t>Stenosarina globosa</t>
  </si>
  <si>
    <t>Tichosina cubensis</t>
  </si>
  <si>
    <t>Tichosina cf plicata</t>
  </si>
  <si>
    <t>Tichosina sp</t>
  </si>
  <si>
    <t>New Caledonia</t>
  </si>
  <si>
    <t>Guadeloupe</t>
  </si>
  <si>
    <t>SCRO-1</t>
  </si>
  <si>
    <t>SGLO-M2</t>
  </si>
  <si>
    <t>TGAL-3</t>
  </si>
  <si>
    <t>TGAL-4</t>
  </si>
  <si>
    <t>TPLI-2</t>
  </si>
  <si>
    <t>TDES-G1</t>
  </si>
  <si>
    <t>TDES-B2</t>
  </si>
  <si>
    <t>SGLO-M2*</t>
  </si>
  <si>
    <t>TCUB-2*</t>
  </si>
  <si>
    <t>Env. and bio. Parameters sheet</t>
  </si>
  <si>
    <t>List of samples with environmental parameters (location, temperature, salinity, ocean geochemistry) and taxonomic identification of the shells</t>
  </si>
  <si>
    <t>Geochemical data sheet</t>
  </si>
  <si>
    <t>List of samples with isotope geochemistry results</t>
  </si>
  <si>
    <t>Clumped isotope results are displayed in the former CDES 25 and CDES 90 reference frames for samples not anchored to the new I-CDES reference frame (Bernasconi et al., 2021).</t>
  </si>
  <si>
    <t>Data in the I-CDES reference frame can be compared at first order with data in the CDES 90 reference frame.</t>
  </si>
  <si>
    <t>T (Anders) °C</t>
  </si>
  <si>
    <t>Offset T (Anders °C)</t>
  </si>
  <si>
    <t>Offset T (Meinicke °C)</t>
  </si>
  <si>
    <t>T (Meinicke) °C</t>
  </si>
  <si>
    <t>T CI</t>
  </si>
  <si>
    <t>Offset CI</t>
  </si>
  <si>
    <t>D47 SE</t>
  </si>
  <si>
    <t>T (Huyghe) °C</t>
  </si>
  <si>
    <t>Offset T (Huyghe °C)</t>
  </si>
  <si>
    <t>T (Peral) °C</t>
  </si>
  <si>
    <t>Offset T (Peral °C)</t>
  </si>
  <si>
    <t xml:space="preserve"> T var (°C)</t>
  </si>
  <si>
    <t>Equation</t>
  </si>
  <si>
    <t>Mean T offset</t>
  </si>
  <si>
    <t>NB significant offset</t>
  </si>
  <si>
    <t>Bajnai et al., 2018 dataset (N=18)</t>
  </si>
  <si>
    <t>All data (N=37)</t>
  </si>
  <si>
    <t>This study dataset (N=19)</t>
  </si>
  <si>
    <t>Anderson et al. (2021)</t>
  </si>
  <si>
    <t>Meinicke et al. (2021)</t>
  </si>
  <si>
    <t>Peral et al. (2022)</t>
  </si>
  <si>
    <t>Huyghe et al. (2022)</t>
  </si>
  <si>
    <t>2 SE of mean T offset</t>
  </si>
  <si>
    <t>Terebratellidina (N=19)</t>
  </si>
  <si>
    <t>Terebratulidina (N=13)</t>
  </si>
  <si>
    <t>Mean T offset (°C)</t>
  </si>
  <si>
    <t>Offset 95% CL</t>
  </si>
  <si>
    <t>Equation comparison</t>
  </si>
  <si>
    <t>D47 (CDES 90 or I-CDES)</t>
  </si>
  <si>
    <t>Taxonomic group, environment temperature constrain and clumped isotope result in CDES 90 or I-CDES reference frames</t>
  </si>
  <si>
    <t>Clumped isotope temperature calculated with different temperature equations in the I-CDES reference frame, and associated offset relative to environment temperature constrains. Bold = significant deviation</t>
  </si>
  <si>
    <t>T offset per dataset</t>
  </si>
  <si>
    <t>Mean temperature offset and number of data with significant temperature offset when applying the different equations to the  brachiopod dataset or to different subsamples (Taxonomic group or studies).</t>
  </si>
  <si>
    <t>Sample name in study</t>
  </si>
  <si>
    <t>Correspondance table</t>
  </si>
  <si>
    <t>Tdes_b2_v</t>
  </si>
  <si>
    <t>Tdes_g1_v</t>
  </si>
  <si>
    <t>Tpli_2_v</t>
  </si>
  <si>
    <t>Tcub_2_v</t>
  </si>
  <si>
    <t>Tgal_3_v</t>
  </si>
  <si>
    <t>Sglo_M2_v_cp</t>
  </si>
  <si>
    <t>Sglo_M2_v</t>
  </si>
  <si>
    <t>Scro_1_v</t>
  </si>
  <si>
    <t>A-ker-C-v</t>
  </si>
  <si>
    <t>A-ker-A-d</t>
  </si>
  <si>
    <t>A-ker52-vcs</t>
  </si>
  <si>
    <t>A-ker68-vcs</t>
  </si>
  <si>
    <t>A-ker61-vcs</t>
  </si>
  <si>
    <t>T-gal-4-v-mi</t>
  </si>
  <si>
    <t>T-san-v</t>
  </si>
  <si>
    <t>Sample name in D47 analysis reports</t>
  </si>
  <si>
    <t>L-neo-vcs</t>
  </si>
  <si>
    <t>N-nig</t>
  </si>
  <si>
    <t>M-fra-vcs</t>
  </si>
  <si>
    <t>L-uva-vcs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</si>
</sst>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0.0000"/>
  </numFmts>
  <fonts count="7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rgb="FF00206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ill="1" applyBorder="1" applyAlignment="1"/>
    <xf numFmtId="0" fontId="0" fillId="0" borderId="0" xfId="0" applyFill="1" applyAlignment="1"/>
    <xf numFmtId="2" fontId="2" fillId="0" borderId="0" xfId="0" applyNumberFormat="1" applyFont="1" applyFill="1" applyBorder="1" applyAlignment="1">
      <alignment vertical="center"/>
    </xf>
    <xf numFmtId="2" fontId="3" fillId="0" borderId="0" xfId="0" applyNumberFormat="1" applyFont="1" applyFill="1" applyBorder="1" applyAlignment="1"/>
    <xf numFmtId="2" fontId="0" fillId="0" borderId="0" xfId="0" applyNumberFormat="1" applyFont="1" applyFill="1" applyBorder="1" applyAlignment="1"/>
    <xf numFmtId="2" fontId="4" fillId="0" borderId="0" xfId="0" applyNumberFormat="1" applyFont="1" applyFill="1" applyBorder="1" applyAlignment="1">
      <alignment vertical="center"/>
    </xf>
    <xf numFmtId="0" fontId="0" fillId="0" borderId="0" xfId="0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>
      <alignment vertical="center" wrapText="1"/>
    </xf>
    <xf numFmtId="2" fontId="0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4" fontId="0" fillId="0" borderId="0" xfId="0" applyNumberFormat="1" applyFill="1" applyBorder="1" applyAlignment="1"/>
    <xf numFmtId="0" fontId="2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5" fillId="0" borderId="0" xfId="0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vertical="center"/>
    </xf>
    <xf numFmtId="165" fontId="0" fillId="0" borderId="0" xfId="0" applyNumberFormat="1"/>
    <xf numFmtId="0" fontId="0" fillId="0" borderId="0" xfId="0" applyFill="1" applyBorder="1"/>
    <xf numFmtId="166" fontId="0" fillId="0" borderId="0" xfId="0" applyNumberFormat="1" applyFill="1" applyBorder="1"/>
    <xf numFmtId="165" fontId="2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Fill="1" applyBorder="1"/>
    <xf numFmtId="0" fontId="0" fillId="0" borderId="0" xfId="0" applyNumberFormat="1"/>
    <xf numFmtId="0" fontId="0" fillId="0" borderId="1" xfId="0" applyBorder="1"/>
    <xf numFmtId="165" fontId="0" fillId="0" borderId="1" xfId="0" applyNumberFormat="1" applyBorder="1"/>
    <xf numFmtId="165" fontId="6" fillId="0" borderId="0" xfId="0" applyNumberFormat="1" applyFont="1" applyFill="1" applyBorder="1"/>
    <xf numFmtId="165" fontId="0" fillId="0" borderId="0" xfId="0" applyNumberFormat="1" applyFont="1" applyFill="1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tabSelected="1" topLeftCell="A13" workbookViewId="0">
      <selection activeCell="D36" sqref="D36"/>
    </sheetView>
  </sheetViews>
  <sheetFormatPr baseColWidth="10" defaultRowHeight="14.4" x14ac:dyDescent="0.3"/>
  <cols>
    <col min="1" max="1" width="21.88671875" customWidth="1"/>
  </cols>
  <sheetData>
    <row r="1" spans="1:1" x14ac:dyDescent="0.3">
      <c r="A1" t="s">
        <v>96</v>
      </c>
    </row>
    <row r="2" spans="1:1" x14ac:dyDescent="0.3">
      <c r="A2" t="s">
        <v>97</v>
      </c>
    </row>
    <row r="5" spans="1:1" x14ac:dyDescent="0.3">
      <c r="A5" t="s">
        <v>98</v>
      </c>
    </row>
    <row r="6" spans="1:1" x14ac:dyDescent="0.3">
      <c r="A6" t="s">
        <v>99</v>
      </c>
    </row>
    <row r="7" spans="1:1" x14ac:dyDescent="0.3">
      <c r="A7" t="s">
        <v>100</v>
      </c>
    </row>
    <row r="8" spans="1:1" x14ac:dyDescent="0.3">
      <c r="A8" t="s">
        <v>101</v>
      </c>
    </row>
    <row r="11" spans="1:1" x14ac:dyDescent="0.3">
      <c r="A11" t="s">
        <v>129</v>
      </c>
    </row>
    <row r="12" spans="1:1" x14ac:dyDescent="0.3">
      <c r="A12" t="s">
        <v>131</v>
      </c>
    </row>
    <row r="13" spans="1:1" x14ac:dyDescent="0.3">
      <c r="A13" t="s">
        <v>132</v>
      </c>
    </row>
    <row r="16" spans="1:1" x14ac:dyDescent="0.3">
      <c r="A16" t="s">
        <v>133</v>
      </c>
    </row>
    <row r="17" spans="1:3" x14ac:dyDescent="0.3">
      <c r="A17" t="s">
        <v>134</v>
      </c>
    </row>
    <row r="19" spans="1:3" x14ac:dyDescent="0.3">
      <c r="A19" s="31" t="s">
        <v>136</v>
      </c>
      <c r="B19" s="31"/>
      <c r="C19" s="31"/>
    </row>
    <row r="20" spans="1:3" x14ac:dyDescent="0.3">
      <c r="A20" t="s">
        <v>135</v>
      </c>
      <c r="B20" t="s">
        <v>152</v>
      </c>
    </row>
    <row r="21" spans="1:3" x14ac:dyDescent="0.3">
      <c r="A21" s="13" t="s">
        <v>57</v>
      </c>
      <c r="B21" t="s">
        <v>151</v>
      </c>
    </row>
    <row r="22" spans="1:3" x14ac:dyDescent="0.3">
      <c r="A22" s="13" t="s">
        <v>58</v>
      </c>
      <c r="B22" t="s">
        <v>153</v>
      </c>
    </row>
    <row r="23" spans="1:3" x14ac:dyDescent="0.3">
      <c r="A23" s="13" t="s">
        <v>59</v>
      </c>
      <c r="B23" t="s">
        <v>154</v>
      </c>
    </row>
    <row r="24" spans="1:3" x14ac:dyDescent="0.3">
      <c r="A24" s="1" t="s">
        <v>71</v>
      </c>
      <c r="B24" t="s">
        <v>155</v>
      </c>
    </row>
    <row r="25" spans="1:3" x14ac:dyDescent="0.3">
      <c r="A25" s="1" t="s">
        <v>72</v>
      </c>
      <c r="B25" t="s">
        <v>156</v>
      </c>
    </row>
    <row r="26" spans="1:3" x14ac:dyDescent="0.3">
      <c r="A26" s="13" t="s">
        <v>75</v>
      </c>
      <c r="B26" t="s">
        <v>145</v>
      </c>
    </row>
    <row r="27" spans="1:3" x14ac:dyDescent="0.3">
      <c r="A27" s="13" t="s">
        <v>76</v>
      </c>
      <c r="B27" t="s">
        <v>146</v>
      </c>
    </row>
    <row r="28" spans="1:3" x14ac:dyDescent="0.3">
      <c r="A28" s="13" t="s">
        <v>77</v>
      </c>
      <c r="B28" t="s">
        <v>147</v>
      </c>
    </row>
    <row r="29" spans="1:3" x14ac:dyDescent="0.3">
      <c r="A29" s="13" t="s">
        <v>78</v>
      </c>
      <c r="B29" t="s">
        <v>148</v>
      </c>
    </row>
    <row r="30" spans="1:3" x14ac:dyDescent="0.3">
      <c r="A30" s="13" t="s">
        <v>79</v>
      </c>
      <c r="B30" t="s">
        <v>149</v>
      </c>
    </row>
    <row r="31" spans="1:3" x14ac:dyDescent="0.3">
      <c r="A31" s="11" t="s">
        <v>87</v>
      </c>
      <c r="B31" t="s">
        <v>144</v>
      </c>
    </row>
    <row r="32" spans="1:3" x14ac:dyDescent="0.3">
      <c r="A32" s="11" t="s">
        <v>88</v>
      </c>
      <c r="B32" t="s">
        <v>143</v>
      </c>
    </row>
    <row r="33" spans="1:2" x14ac:dyDescent="0.3">
      <c r="A33" s="11" t="s">
        <v>94</v>
      </c>
      <c r="B33" t="s">
        <v>142</v>
      </c>
    </row>
    <row r="34" spans="1:2" x14ac:dyDescent="0.3">
      <c r="A34" s="13" t="s">
        <v>90</v>
      </c>
      <c r="B34" t="s">
        <v>150</v>
      </c>
    </row>
    <row r="35" spans="1:2" x14ac:dyDescent="0.3">
      <c r="A35" s="13" t="s">
        <v>89</v>
      </c>
      <c r="B35" t="s">
        <v>141</v>
      </c>
    </row>
    <row r="36" spans="1:2" x14ac:dyDescent="0.3">
      <c r="A36" s="13" t="s">
        <v>95</v>
      </c>
      <c r="B36" t="s">
        <v>140</v>
      </c>
    </row>
    <row r="37" spans="1:2" x14ac:dyDescent="0.3">
      <c r="A37" s="13" t="s">
        <v>91</v>
      </c>
      <c r="B37" t="s">
        <v>139</v>
      </c>
    </row>
    <row r="38" spans="1:2" x14ac:dyDescent="0.3">
      <c r="A38" s="13" t="s">
        <v>92</v>
      </c>
      <c r="B38" t="s">
        <v>138</v>
      </c>
    </row>
    <row r="39" spans="1:2" x14ac:dyDescent="0.3">
      <c r="A39" s="13" t="s">
        <v>93</v>
      </c>
      <c r="B39" t="s">
        <v>137</v>
      </c>
    </row>
  </sheetData>
  <mergeCells count="1">
    <mergeCell ref="A19:C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>
      <pane xSplit="1" ySplit="1" topLeftCell="E8" activePane="bottomRight" state="frozen"/>
      <selection pane="topRight" activeCell="B1" sqref="B1"/>
      <selection pane="bottomLeft" activeCell="A2" sqref="A2"/>
      <selection pane="bottomRight" activeCell="D19" sqref="D19"/>
    </sheetView>
  </sheetViews>
  <sheetFormatPr baseColWidth="10" defaultColWidth="8.88671875" defaultRowHeight="14.4" x14ac:dyDescent="0.3"/>
  <cols>
    <col min="1" max="1" width="8.88671875" style="7" customWidth="1"/>
    <col min="2" max="2" width="24" style="7" customWidth="1"/>
    <col min="3" max="3" width="24.21875" style="7" customWidth="1"/>
    <col min="4" max="4" width="16.109375" style="7" customWidth="1"/>
    <col min="5" max="5" width="24.6640625" style="7" customWidth="1"/>
    <col min="6" max="6" width="18.5546875" style="7" customWidth="1"/>
    <col min="7" max="10" width="8.88671875" style="7"/>
    <col min="11" max="11" width="15.44140625" style="7" customWidth="1"/>
    <col min="12" max="12" width="16.33203125" style="7" customWidth="1"/>
    <col min="13" max="16384" width="8.88671875" style="7"/>
  </cols>
  <sheetData>
    <row r="1" spans="1:12" x14ac:dyDescent="0.3">
      <c r="A1" s="1" t="s">
        <v>0</v>
      </c>
      <c r="B1" s="1" t="s">
        <v>4</v>
      </c>
      <c r="C1" s="1" t="s">
        <v>1</v>
      </c>
      <c r="D1" s="1" t="s">
        <v>2</v>
      </c>
      <c r="E1" s="1" t="s">
        <v>3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3">
      <c r="A2" s="1">
        <v>130</v>
      </c>
      <c r="B2" s="1" t="s">
        <v>32</v>
      </c>
      <c r="C2" s="17" t="s">
        <v>33</v>
      </c>
      <c r="D2" s="1" t="s">
        <v>44</v>
      </c>
      <c r="E2" s="1" t="s">
        <v>45</v>
      </c>
      <c r="F2" s="1" t="s">
        <v>49</v>
      </c>
      <c r="G2" s="10">
        <v>11.36</v>
      </c>
      <c r="H2" s="10">
        <v>13.19</v>
      </c>
      <c r="I2" s="10">
        <v>9.77</v>
      </c>
      <c r="J2" s="4">
        <v>32.546999999999997</v>
      </c>
      <c r="K2" s="5">
        <f>0.24*J2-8.45</f>
        <v>-0.63872000000000018</v>
      </c>
      <c r="L2" s="6">
        <v>-1.21</v>
      </c>
    </row>
    <row r="3" spans="1:12" x14ac:dyDescent="0.3">
      <c r="A3" s="1">
        <v>143</v>
      </c>
      <c r="B3" s="1" t="s">
        <v>32</v>
      </c>
      <c r="C3" s="17" t="s">
        <v>33</v>
      </c>
      <c r="D3" s="1" t="s">
        <v>44</v>
      </c>
      <c r="E3" s="1" t="s">
        <v>45</v>
      </c>
      <c r="F3" s="1" t="s">
        <v>49</v>
      </c>
      <c r="G3" s="10">
        <v>11.36</v>
      </c>
      <c r="H3" s="10">
        <v>13.19</v>
      </c>
      <c r="I3" s="10">
        <v>9.77</v>
      </c>
      <c r="J3" s="4">
        <v>32.546999999999997</v>
      </c>
      <c r="K3" s="5">
        <f>0.24*J2-8.45</f>
        <v>-0.63872000000000018</v>
      </c>
      <c r="L3" s="6">
        <v>-1.21</v>
      </c>
    </row>
    <row r="4" spans="1:12" x14ac:dyDescent="0.3">
      <c r="A4" s="1" t="s">
        <v>19</v>
      </c>
      <c r="B4" s="1" t="s">
        <v>32</v>
      </c>
      <c r="C4" s="17" t="s">
        <v>34</v>
      </c>
      <c r="D4" s="1" t="s">
        <v>46</v>
      </c>
      <c r="E4" s="1"/>
      <c r="F4" s="1" t="s">
        <v>50</v>
      </c>
      <c r="G4" s="3">
        <v>1.56</v>
      </c>
      <c r="H4" s="3">
        <v>3.2</v>
      </c>
      <c r="I4" s="3">
        <v>-1.05</v>
      </c>
      <c r="J4" s="4">
        <v>31.765000000000001</v>
      </c>
      <c r="K4" s="5">
        <f>0.42*J4-16.05</f>
        <v>-2.7087000000000003</v>
      </c>
      <c r="L4" s="6">
        <v>-3.35</v>
      </c>
    </row>
    <row r="5" spans="1:12" x14ac:dyDescent="0.3">
      <c r="A5" s="1" t="s">
        <v>20</v>
      </c>
      <c r="B5" s="1" t="s">
        <v>32</v>
      </c>
      <c r="C5" s="17" t="s">
        <v>35</v>
      </c>
      <c r="D5" s="1" t="s">
        <v>44</v>
      </c>
      <c r="E5" s="1" t="s">
        <v>45</v>
      </c>
      <c r="F5" s="1" t="s">
        <v>51</v>
      </c>
      <c r="G5" s="3">
        <v>8.59</v>
      </c>
      <c r="H5" s="3">
        <v>9.6199999999999992</v>
      </c>
      <c r="I5" s="3">
        <v>7.7</v>
      </c>
      <c r="J5" s="4">
        <v>31.087</v>
      </c>
      <c r="K5" s="5">
        <f>0.44*J5-15.13</f>
        <v>-1.4517200000000017</v>
      </c>
      <c r="L5" s="6">
        <v>-1.84</v>
      </c>
    </row>
    <row r="6" spans="1:12" x14ac:dyDescent="0.3">
      <c r="A6" s="1" t="s">
        <v>21</v>
      </c>
      <c r="B6" s="1" t="s">
        <v>32</v>
      </c>
      <c r="C6" s="17" t="s">
        <v>35</v>
      </c>
      <c r="D6" s="1" t="s">
        <v>44</v>
      </c>
      <c r="E6" s="1" t="s">
        <v>45</v>
      </c>
      <c r="F6" s="1" t="s">
        <v>51</v>
      </c>
      <c r="G6" s="3">
        <v>8.39</v>
      </c>
      <c r="H6" s="3">
        <v>8.94</v>
      </c>
      <c r="I6" s="3">
        <v>7.87</v>
      </c>
      <c r="J6" s="4">
        <v>31.72</v>
      </c>
      <c r="K6" s="5">
        <f>0.44*J6-15.13</f>
        <v>-1.1732000000000014</v>
      </c>
      <c r="L6" s="6">
        <v>-1.84</v>
      </c>
    </row>
    <row r="7" spans="1:12" x14ac:dyDescent="0.3">
      <c r="A7" s="1" t="s">
        <v>22</v>
      </c>
      <c r="B7" s="1" t="s">
        <v>32</v>
      </c>
      <c r="C7" s="17" t="s">
        <v>36</v>
      </c>
      <c r="D7" s="1" t="s">
        <v>48</v>
      </c>
      <c r="E7" s="1"/>
      <c r="F7" s="1" t="s">
        <v>52</v>
      </c>
      <c r="G7" s="3">
        <v>20.92</v>
      </c>
      <c r="H7" s="3">
        <v>23.24</v>
      </c>
      <c r="I7" s="3">
        <v>19.010000000000002</v>
      </c>
      <c r="J7" s="4">
        <v>36.837000000000003</v>
      </c>
      <c r="K7" s="5">
        <f>0.15*J7-4.61</f>
        <v>0.91554999999999964</v>
      </c>
      <c r="L7" s="8">
        <v>1.07</v>
      </c>
    </row>
    <row r="8" spans="1:12" x14ac:dyDescent="0.3">
      <c r="A8" s="1" t="s">
        <v>23</v>
      </c>
      <c r="B8" s="1" t="s">
        <v>32</v>
      </c>
      <c r="C8" s="17" t="s">
        <v>37</v>
      </c>
      <c r="D8" s="1" t="s">
        <v>48</v>
      </c>
      <c r="E8" s="1"/>
      <c r="F8" s="1" t="s">
        <v>53</v>
      </c>
      <c r="G8" s="3">
        <v>28.914000000000001</v>
      </c>
      <c r="H8" s="3">
        <v>29.37</v>
      </c>
      <c r="I8" s="3">
        <v>27.85</v>
      </c>
      <c r="J8" s="4">
        <v>34.066000000000003</v>
      </c>
      <c r="K8" s="5">
        <f>0.27*J8-8.88</f>
        <v>0.3178200000000011</v>
      </c>
      <c r="L8" s="6">
        <v>-0.13</v>
      </c>
    </row>
    <row r="9" spans="1:12" x14ac:dyDescent="0.3">
      <c r="A9" s="1" t="s">
        <v>24</v>
      </c>
      <c r="B9" s="1" t="s">
        <v>32</v>
      </c>
      <c r="C9" s="17" t="s">
        <v>38</v>
      </c>
      <c r="D9" s="1" t="s">
        <v>44</v>
      </c>
      <c r="E9" s="1" t="s">
        <v>45</v>
      </c>
      <c r="F9" s="1" t="s">
        <v>54</v>
      </c>
      <c r="G9" s="3">
        <v>24.84</v>
      </c>
      <c r="H9" s="3">
        <v>28.19</v>
      </c>
      <c r="I9" s="3">
        <v>21.83</v>
      </c>
      <c r="J9" s="4">
        <v>40.354999999999997</v>
      </c>
      <c r="K9" s="5">
        <f>0.31*J9-10.81</f>
        <v>1.7000499999999992</v>
      </c>
      <c r="L9" s="8">
        <v>1.86</v>
      </c>
    </row>
    <row r="10" spans="1:12" x14ac:dyDescent="0.3">
      <c r="A10" s="1" t="s">
        <v>25</v>
      </c>
      <c r="B10" s="1" t="s">
        <v>32</v>
      </c>
      <c r="C10" s="17" t="s">
        <v>39</v>
      </c>
      <c r="D10" s="1" t="s">
        <v>44</v>
      </c>
      <c r="E10" s="1" t="s">
        <v>45</v>
      </c>
      <c r="F10" s="1" t="s">
        <v>54</v>
      </c>
      <c r="G10" s="3">
        <v>24.84</v>
      </c>
      <c r="H10" s="3">
        <v>28.19</v>
      </c>
      <c r="I10" s="3">
        <v>21.83</v>
      </c>
      <c r="J10" s="4">
        <v>40.354999999999997</v>
      </c>
      <c r="K10" s="5">
        <f>0.31*J10-10.81</f>
        <v>1.7000499999999992</v>
      </c>
      <c r="L10" s="8">
        <v>1.86</v>
      </c>
    </row>
    <row r="11" spans="1:12" x14ac:dyDescent="0.3">
      <c r="A11" s="1" t="s">
        <v>26</v>
      </c>
      <c r="B11" s="1" t="s">
        <v>32</v>
      </c>
      <c r="C11" s="17" t="s">
        <v>40</v>
      </c>
      <c r="D11" s="1" t="s">
        <v>44</v>
      </c>
      <c r="E11" s="1" t="s">
        <v>45</v>
      </c>
      <c r="F11" s="1" t="s">
        <v>55</v>
      </c>
      <c r="G11" s="3">
        <v>13.27</v>
      </c>
      <c r="H11" s="3">
        <v>15.44</v>
      </c>
      <c r="I11" s="3">
        <v>11.68</v>
      </c>
      <c r="J11" s="4">
        <v>34.811</v>
      </c>
      <c r="K11" s="9">
        <f>J11*0.45-15.29</f>
        <v>0.37495000000000189</v>
      </c>
      <c r="L11" s="8">
        <v>0.3</v>
      </c>
    </row>
    <row r="12" spans="1:12" x14ac:dyDescent="0.3">
      <c r="A12" s="1" t="s">
        <v>27</v>
      </c>
      <c r="B12" s="1" t="s">
        <v>32</v>
      </c>
      <c r="C12" s="17" t="s">
        <v>41</v>
      </c>
      <c r="D12" s="1" t="s">
        <v>44</v>
      </c>
      <c r="E12" s="1" t="s">
        <v>45</v>
      </c>
      <c r="F12" s="1" t="s">
        <v>55</v>
      </c>
      <c r="G12" s="3">
        <v>13.27</v>
      </c>
      <c r="H12" s="3">
        <v>15.44</v>
      </c>
      <c r="I12" s="3">
        <v>11.68</v>
      </c>
      <c r="J12" s="4">
        <v>34.811</v>
      </c>
      <c r="K12" s="9">
        <f t="shared" ref="K12:K16" si="0">J12*0.45-15.29</f>
        <v>0.37495000000000189</v>
      </c>
      <c r="L12" s="8">
        <v>0.3</v>
      </c>
    </row>
    <row r="13" spans="1:12" x14ac:dyDescent="0.3">
      <c r="A13" s="1" t="s">
        <v>28</v>
      </c>
      <c r="B13" s="1" t="s">
        <v>32</v>
      </c>
      <c r="C13" s="17" t="s">
        <v>42</v>
      </c>
      <c r="D13" s="1" t="s">
        <v>44</v>
      </c>
      <c r="E13" s="1" t="s">
        <v>47</v>
      </c>
      <c r="F13" s="1" t="s">
        <v>55</v>
      </c>
      <c r="G13" s="3">
        <v>13.27</v>
      </c>
      <c r="H13" s="3">
        <v>15.44</v>
      </c>
      <c r="I13" s="3">
        <v>11.68</v>
      </c>
      <c r="J13" s="4">
        <v>34.811</v>
      </c>
      <c r="K13" s="9">
        <f t="shared" si="0"/>
        <v>0.37495000000000189</v>
      </c>
      <c r="L13" s="8">
        <v>0.3</v>
      </c>
    </row>
    <row r="14" spans="1:12" x14ac:dyDescent="0.3">
      <c r="A14" s="1" t="s">
        <v>29</v>
      </c>
      <c r="B14" s="1" t="s">
        <v>32</v>
      </c>
      <c r="C14" s="17" t="s">
        <v>42</v>
      </c>
      <c r="D14" s="1" t="s">
        <v>44</v>
      </c>
      <c r="E14" s="1" t="s">
        <v>47</v>
      </c>
      <c r="F14" s="1" t="s">
        <v>55</v>
      </c>
      <c r="G14" s="3">
        <v>13.27</v>
      </c>
      <c r="H14" s="3">
        <v>15.44</v>
      </c>
      <c r="I14" s="3">
        <v>11.68</v>
      </c>
      <c r="J14" s="4">
        <v>34.811</v>
      </c>
      <c r="K14" s="9">
        <f t="shared" si="0"/>
        <v>0.37495000000000189</v>
      </c>
      <c r="L14" s="8">
        <v>0.3</v>
      </c>
    </row>
    <row r="15" spans="1:12" x14ac:dyDescent="0.3">
      <c r="A15" s="1" t="s">
        <v>30</v>
      </c>
      <c r="B15" s="1" t="s">
        <v>32</v>
      </c>
      <c r="C15" s="17" t="s">
        <v>40</v>
      </c>
      <c r="D15" s="1" t="s">
        <v>44</v>
      </c>
      <c r="E15" s="1" t="s">
        <v>45</v>
      </c>
      <c r="F15" s="1" t="s">
        <v>55</v>
      </c>
      <c r="G15" s="3">
        <v>13.85</v>
      </c>
      <c r="H15" s="3">
        <v>16.57</v>
      </c>
      <c r="I15" s="3">
        <v>12.2</v>
      </c>
      <c r="J15" s="4">
        <v>34.863</v>
      </c>
      <c r="K15" s="9">
        <f t="shared" si="0"/>
        <v>0.39835000000000065</v>
      </c>
      <c r="L15" s="8"/>
    </row>
    <row r="16" spans="1:12" x14ac:dyDescent="0.3">
      <c r="A16" s="1" t="s">
        <v>31</v>
      </c>
      <c r="B16" s="1" t="s">
        <v>32</v>
      </c>
      <c r="C16" s="17" t="s">
        <v>43</v>
      </c>
      <c r="D16" s="1" t="s">
        <v>46</v>
      </c>
      <c r="E16" s="1"/>
      <c r="F16" s="1" t="s">
        <v>55</v>
      </c>
      <c r="G16" s="10">
        <v>10.31</v>
      </c>
      <c r="H16" s="10">
        <v>12.715</v>
      </c>
      <c r="I16" s="10">
        <v>8.41</v>
      </c>
      <c r="J16" s="4">
        <v>34.439</v>
      </c>
      <c r="K16" s="9">
        <f t="shared" si="0"/>
        <v>0.20755000000000123</v>
      </c>
      <c r="L16" s="8"/>
    </row>
    <row r="17" spans="1:12" x14ac:dyDescent="0.3">
      <c r="A17" s="13" t="s">
        <v>57</v>
      </c>
      <c r="B17" s="1" t="s">
        <v>60</v>
      </c>
      <c r="C17" s="17" t="s">
        <v>40</v>
      </c>
      <c r="D17" s="1" t="s">
        <v>44</v>
      </c>
      <c r="E17" s="1" t="s">
        <v>45</v>
      </c>
      <c r="F17" s="1" t="s">
        <v>55</v>
      </c>
      <c r="G17" s="11">
        <v>13.6</v>
      </c>
      <c r="H17" s="3">
        <v>15.9</v>
      </c>
      <c r="I17" s="3">
        <v>11.3</v>
      </c>
      <c r="J17" s="9">
        <v>34.700000000000003</v>
      </c>
      <c r="K17" s="9">
        <f>J17*0.45-15.29</f>
        <v>0.32500000000000284</v>
      </c>
      <c r="L17" s="8"/>
    </row>
    <row r="18" spans="1:12" x14ac:dyDescent="0.3">
      <c r="A18" s="13" t="s">
        <v>58</v>
      </c>
      <c r="B18" s="1" t="s">
        <v>60</v>
      </c>
      <c r="C18" s="17" t="s">
        <v>42</v>
      </c>
      <c r="D18" s="1" t="s">
        <v>44</v>
      </c>
      <c r="E18" s="1" t="s">
        <v>47</v>
      </c>
      <c r="F18" s="1" t="s">
        <v>55</v>
      </c>
      <c r="G18" s="11">
        <v>13.2</v>
      </c>
      <c r="H18" s="3">
        <v>15.7</v>
      </c>
      <c r="I18" s="3">
        <v>10.7</v>
      </c>
      <c r="J18" s="9">
        <v>34.700000000000003</v>
      </c>
      <c r="K18" s="9">
        <f>J18*0.45-15.29</f>
        <v>0.32500000000000284</v>
      </c>
      <c r="L18" s="8">
        <v>0.3</v>
      </c>
    </row>
    <row r="19" spans="1:12" x14ac:dyDescent="0.3">
      <c r="A19" s="13" t="s">
        <v>59</v>
      </c>
      <c r="B19" s="1" t="s">
        <v>60</v>
      </c>
      <c r="C19" s="17" t="s">
        <v>43</v>
      </c>
      <c r="D19" s="1" t="s">
        <v>46</v>
      </c>
      <c r="E19" s="1"/>
      <c r="F19" s="1" t="s">
        <v>55</v>
      </c>
      <c r="G19" s="11">
        <v>10.4</v>
      </c>
      <c r="H19" s="3">
        <v>12.4</v>
      </c>
      <c r="I19" s="3">
        <v>8</v>
      </c>
      <c r="J19" s="9">
        <v>34.340000000000003</v>
      </c>
      <c r="K19" s="9">
        <f>J19*0.45-15.29</f>
        <v>0.16300000000000203</v>
      </c>
      <c r="L19" s="8"/>
    </row>
    <row r="20" spans="1:12" s="2" customFormat="1" x14ac:dyDescent="0.3">
      <c r="A20" s="14" t="s">
        <v>61</v>
      </c>
      <c r="B20" s="1" t="s">
        <v>32</v>
      </c>
      <c r="C20" s="17" t="s">
        <v>64</v>
      </c>
      <c r="D20" s="1" t="s">
        <v>44</v>
      </c>
      <c r="E20" s="1" t="s">
        <v>45</v>
      </c>
      <c r="F20" s="1" t="s">
        <v>67</v>
      </c>
      <c r="G20" s="3">
        <v>4.76</v>
      </c>
      <c r="H20" s="3">
        <v>5.59</v>
      </c>
      <c r="I20" s="3">
        <v>4.29</v>
      </c>
      <c r="J20" s="4">
        <v>34.040999999999997</v>
      </c>
      <c r="K20" s="5">
        <f>0.24*J20-8.45</f>
        <v>-0.28016000000000041</v>
      </c>
      <c r="L20" s="1"/>
    </row>
    <row r="21" spans="1:12" s="2" customFormat="1" x14ac:dyDescent="0.3">
      <c r="A21" s="14" t="s">
        <v>62</v>
      </c>
      <c r="B21" s="1" t="s">
        <v>32</v>
      </c>
      <c r="C21" s="17" t="s">
        <v>65</v>
      </c>
      <c r="D21" s="1" t="s">
        <v>44</v>
      </c>
      <c r="E21" s="1" t="s">
        <v>45</v>
      </c>
      <c r="F21" s="1" t="s">
        <v>68</v>
      </c>
      <c r="G21" s="3">
        <v>1</v>
      </c>
      <c r="H21" s="3">
        <v>3.89</v>
      </c>
      <c r="I21" s="3">
        <v>-1.32</v>
      </c>
      <c r="J21" s="4">
        <v>34.875</v>
      </c>
      <c r="K21" s="5">
        <f>0.48*J21-16.82</f>
        <v>-8.0000000000001847E-2</v>
      </c>
      <c r="L21" s="1"/>
    </row>
    <row r="22" spans="1:12" s="2" customFormat="1" x14ac:dyDescent="0.3">
      <c r="A22" s="14" t="s">
        <v>63</v>
      </c>
      <c r="B22" s="1" t="s">
        <v>32</v>
      </c>
      <c r="C22" s="17" t="s">
        <v>66</v>
      </c>
      <c r="D22" s="1" t="s">
        <v>44</v>
      </c>
      <c r="E22" s="1" t="s">
        <v>45</v>
      </c>
      <c r="F22" s="1" t="s">
        <v>69</v>
      </c>
      <c r="G22" s="10">
        <v>0.06</v>
      </c>
      <c r="H22" s="10">
        <v>0.87</v>
      </c>
      <c r="I22" s="10">
        <v>-0.8</v>
      </c>
      <c r="J22" s="4">
        <v>34.572000000000003</v>
      </c>
      <c r="K22" s="9">
        <f>J22*0.23-8.11</f>
        <v>-0.1584399999999988</v>
      </c>
      <c r="L22" s="1"/>
    </row>
    <row r="23" spans="1:12" s="2" customFormat="1" x14ac:dyDescent="0.3">
      <c r="A23" s="1" t="s">
        <v>71</v>
      </c>
      <c r="B23" s="1" t="s">
        <v>60</v>
      </c>
      <c r="C23" s="17" t="s">
        <v>66</v>
      </c>
      <c r="D23" s="1" t="s">
        <v>44</v>
      </c>
      <c r="E23" s="1" t="s">
        <v>45</v>
      </c>
      <c r="F23" s="1" t="s">
        <v>69</v>
      </c>
      <c r="G23" s="1">
        <v>-1.9</v>
      </c>
      <c r="H23" s="1">
        <v>-1.5</v>
      </c>
      <c r="I23" s="1">
        <v>-1.9</v>
      </c>
      <c r="J23" s="11">
        <v>34.700000000000003</v>
      </c>
      <c r="K23" s="9">
        <f>J23*0.23-8.11</f>
        <v>-0.12899999999999867</v>
      </c>
      <c r="L23" s="1"/>
    </row>
    <row r="24" spans="1:12" s="2" customFormat="1" x14ac:dyDescent="0.3">
      <c r="A24" s="1" t="s">
        <v>72</v>
      </c>
      <c r="B24" s="1" t="s">
        <v>60</v>
      </c>
      <c r="C24" s="18" t="s">
        <v>70</v>
      </c>
      <c r="D24" s="1" t="s">
        <v>44</v>
      </c>
      <c r="E24" s="1" t="s">
        <v>47</v>
      </c>
      <c r="F24" s="1" t="s">
        <v>69</v>
      </c>
      <c r="G24" s="1">
        <v>-1.1000000000000001</v>
      </c>
      <c r="H24" s="1">
        <v>-0.7</v>
      </c>
      <c r="I24" s="1">
        <v>-1.5</v>
      </c>
      <c r="J24" s="11">
        <v>33.299999999999997</v>
      </c>
      <c r="K24" s="9">
        <f>J24*0.23-8.11</f>
        <v>-0.45099999999999962</v>
      </c>
      <c r="L24" s="1">
        <v>-0.65</v>
      </c>
    </row>
    <row r="25" spans="1:12" x14ac:dyDescent="0.3">
      <c r="A25" s="13" t="s">
        <v>75</v>
      </c>
      <c r="B25" s="1" t="s">
        <v>60</v>
      </c>
      <c r="C25" s="18" t="s">
        <v>73</v>
      </c>
      <c r="D25" s="1" t="s">
        <v>44</v>
      </c>
      <c r="E25" s="1" t="s">
        <v>45</v>
      </c>
      <c r="F25" s="1" t="s">
        <v>74</v>
      </c>
      <c r="G25" s="19">
        <v>3.9</v>
      </c>
      <c r="H25" s="1">
        <v>4.5</v>
      </c>
      <c r="I25" s="1">
        <v>3.3</v>
      </c>
      <c r="J25" s="9">
        <v>33.970999999999997</v>
      </c>
      <c r="K25" s="9">
        <f>J25*0.24-8.45</f>
        <v>-0.29696000000000033</v>
      </c>
      <c r="L25" s="1"/>
    </row>
    <row r="26" spans="1:12" x14ac:dyDescent="0.3">
      <c r="A26" s="13" t="s">
        <v>76</v>
      </c>
      <c r="B26" s="1" t="s">
        <v>60</v>
      </c>
      <c r="C26" s="18" t="s">
        <v>73</v>
      </c>
      <c r="D26" s="1" t="s">
        <v>44</v>
      </c>
      <c r="E26" s="1" t="s">
        <v>45</v>
      </c>
      <c r="F26" s="1" t="s">
        <v>74</v>
      </c>
      <c r="G26" s="19">
        <v>3.7</v>
      </c>
      <c r="H26" s="1">
        <v>4.3</v>
      </c>
      <c r="I26" s="1">
        <v>3.1</v>
      </c>
      <c r="J26" s="9">
        <v>34.005000000000003</v>
      </c>
      <c r="K26" s="9">
        <f t="shared" ref="K26:K29" si="1">J26*0.24-8.45</f>
        <v>-0.28879999999999839</v>
      </c>
      <c r="L26" s="1"/>
    </row>
    <row r="27" spans="1:12" x14ac:dyDescent="0.3">
      <c r="A27" s="13" t="s">
        <v>77</v>
      </c>
      <c r="B27" s="1" t="s">
        <v>60</v>
      </c>
      <c r="C27" s="18" t="s">
        <v>73</v>
      </c>
      <c r="D27" s="1" t="s">
        <v>44</v>
      </c>
      <c r="E27" s="1" t="s">
        <v>45</v>
      </c>
      <c r="F27" s="1" t="s">
        <v>74</v>
      </c>
      <c r="G27" s="19">
        <v>3.14</v>
      </c>
      <c r="H27" s="1">
        <v>3.4</v>
      </c>
      <c r="I27" s="1">
        <v>2.8</v>
      </c>
      <c r="J27" s="9">
        <v>34.158000000000001</v>
      </c>
      <c r="K27" s="9">
        <f t="shared" si="1"/>
        <v>-0.25207999999999942</v>
      </c>
      <c r="L27" s="1"/>
    </row>
    <row r="28" spans="1:12" x14ac:dyDescent="0.3">
      <c r="A28" s="13" t="s">
        <v>78</v>
      </c>
      <c r="B28" s="1" t="s">
        <v>60</v>
      </c>
      <c r="C28" s="18" t="s">
        <v>73</v>
      </c>
      <c r="D28" s="1" t="s">
        <v>44</v>
      </c>
      <c r="E28" s="1" t="s">
        <v>45</v>
      </c>
      <c r="F28" s="1" t="s">
        <v>74</v>
      </c>
      <c r="G28" s="19">
        <v>3.4</v>
      </c>
      <c r="H28" s="1">
        <v>4.2</v>
      </c>
      <c r="I28" s="1">
        <v>2.6</v>
      </c>
      <c r="J28" s="9">
        <v>33.988</v>
      </c>
      <c r="K28" s="9">
        <f t="shared" si="1"/>
        <v>-0.29288000000000025</v>
      </c>
      <c r="L28" s="1"/>
    </row>
    <row r="29" spans="1:12" x14ac:dyDescent="0.3">
      <c r="A29" s="13" t="s">
        <v>79</v>
      </c>
      <c r="B29" s="1" t="s">
        <v>60</v>
      </c>
      <c r="C29" s="18" t="s">
        <v>73</v>
      </c>
      <c r="D29" s="1" t="s">
        <v>44</v>
      </c>
      <c r="E29" s="1" t="s">
        <v>45</v>
      </c>
      <c r="F29" s="1" t="s">
        <v>74</v>
      </c>
      <c r="G29" s="19">
        <v>4.0999999999999996</v>
      </c>
      <c r="H29" s="1">
        <v>5.3</v>
      </c>
      <c r="I29" s="1">
        <v>2.9</v>
      </c>
      <c r="J29" s="9">
        <v>33.847999999999999</v>
      </c>
      <c r="K29" s="9">
        <f t="shared" si="1"/>
        <v>-0.3264800000000001</v>
      </c>
      <c r="L29" s="1"/>
    </row>
    <row r="30" spans="1:12" x14ac:dyDescent="0.3">
      <c r="A30" s="11" t="s">
        <v>87</v>
      </c>
      <c r="B30" s="1" t="s">
        <v>60</v>
      </c>
      <c r="C30" s="17" t="s">
        <v>80</v>
      </c>
      <c r="D30" s="1" t="s">
        <v>44</v>
      </c>
      <c r="E30" s="1" t="s">
        <v>47</v>
      </c>
      <c r="F30" s="1" t="s">
        <v>85</v>
      </c>
      <c r="G30" s="11">
        <v>10</v>
      </c>
      <c r="H30" s="1">
        <v>10.9</v>
      </c>
      <c r="I30" s="1">
        <v>9.1</v>
      </c>
      <c r="J30" s="11">
        <v>34.76</v>
      </c>
      <c r="K30" s="3">
        <f>J30*0.27-8.88</f>
        <v>0.50519999999999854</v>
      </c>
      <c r="L30" s="1"/>
    </row>
    <row r="31" spans="1:12" x14ac:dyDescent="0.3">
      <c r="A31" s="11" t="s">
        <v>88</v>
      </c>
      <c r="B31" s="1" t="s">
        <v>60</v>
      </c>
      <c r="C31" s="17" t="s">
        <v>81</v>
      </c>
      <c r="D31" s="1" t="s">
        <v>44</v>
      </c>
      <c r="E31" s="1" t="s">
        <v>47</v>
      </c>
      <c r="F31" s="1" t="s">
        <v>85</v>
      </c>
      <c r="G31" s="11">
        <v>16.399999999999999</v>
      </c>
      <c r="H31" s="1">
        <v>17.100000000000001</v>
      </c>
      <c r="I31" s="1">
        <v>15.7</v>
      </c>
      <c r="J31" s="11">
        <v>35.4</v>
      </c>
      <c r="K31" s="3">
        <f t="shared" ref="K31:K32" si="2">J31*0.27-8.88</f>
        <v>0.67799999999999905</v>
      </c>
      <c r="L31" s="1"/>
    </row>
    <row r="32" spans="1:12" x14ac:dyDescent="0.3">
      <c r="A32" s="11" t="s">
        <v>94</v>
      </c>
      <c r="B32" s="1" t="s">
        <v>60</v>
      </c>
      <c r="C32" s="17" t="s">
        <v>81</v>
      </c>
      <c r="D32" s="1" t="s">
        <v>44</v>
      </c>
      <c r="E32" s="1" t="s">
        <v>47</v>
      </c>
      <c r="F32" s="1" t="s">
        <v>85</v>
      </c>
      <c r="G32" s="11">
        <v>16.399999999999999</v>
      </c>
      <c r="H32" s="1">
        <v>17.100000000000001</v>
      </c>
      <c r="I32" s="1">
        <v>15.7</v>
      </c>
      <c r="J32" s="11">
        <v>35.4</v>
      </c>
      <c r="K32" s="3">
        <f t="shared" si="2"/>
        <v>0.67799999999999905</v>
      </c>
      <c r="L32" s="1"/>
    </row>
    <row r="33" spans="1:12" x14ac:dyDescent="0.3">
      <c r="A33" s="13" t="s">
        <v>90</v>
      </c>
      <c r="B33" s="1" t="s">
        <v>60</v>
      </c>
      <c r="C33" s="18" t="s">
        <v>82</v>
      </c>
      <c r="D33" s="1" t="s">
        <v>44</v>
      </c>
      <c r="E33" s="1" t="s">
        <v>47</v>
      </c>
      <c r="F33" s="1" t="s">
        <v>86</v>
      </c>
      <c r="G33" s="11">
        <v>16.600000000000001</v>
      </c>
      <c r="H33" s="1">
        <v>17.600000000000001</v>
      </c>
      <c r="I33" s="1">
        <v>15.6</v>
      </c>
      <c r="J33" s="11">
        <v>36.22</v>
      </c>
      <c r="K33" s="9">
        <f>J33*0.15-4.61</f>
        <v>0.82299999999999951</v>
      </c>
      <c r="L33" s="1"/>
    </row>
    <row r="34" spans="1:12" x14ac:dyDescent="0.3">
      <c r="A34" s="13" t="s">
        <v>89</v>
      </c>
      <c r="B34" s="1" t="s">
        <v>60</v>
      </c>
      <c r="C34" s="18" t="s">
        <v>82</v>
      </c>
      <c r="D34" s="1" t="s">
        <v>44</v>
      </c>
      <c r="E34" s="1" t="s">
        <v>47</v>
      </c>
      <c r="F34" s="1" t="s">
        <v>86</v>
      </c>
      <c r="G34" s="11">
        <v>16.600000000000001</v>
      </c>
      <c r="H34" s="1">
        <v>17.600000000000001</v>
      </c>
      <c r="I34" s="1">
        <v>15.6</v>
      </c>
      <c r="J34" s="11">
        <v>36.22</v>
      </c>
      <c r="K34" s="9">
        <f t="shared" ref="K34:K38" si="3">J34*0.15-4.61</f>
        <v>0.82299999999999951</v>
      </c>
      <c r="L34" s="1"/>
    </row>
    <row r="35" spans="1:12" x14ac:dyDescent="0.3">
      <c r="A35" s="13" t="s">
        <v>95</v>
      </c>
      <c r="B35" s="1" t="s">
        <v>60</v>
      </c>
      <c r="C35" s="18" t="s">
        <v>82</v>
      </c>
      <c r="D35" s="1" t="s">
        <v>44</v>
      </c>
      <c r="E35" s="1" t="s">
        <v>47</v>
      </c>
      <c r="F35" s="1" t="s">
        <v>86</v>
      </c>
      <c r="G35" s="11">
        <v>17.3</v>
      </c>
      <c r="H35" s="1">
        <v>18.3</v>
      </c>
      <c r="I35" s="1">
        <v>16.3</v>
      </c>
      <c r="J35" s="11">
        <v>36.380000000000003</v>
      </c>
      <c r="K35" s="9">
        <f t="shared" si="3"/>
        <v>0.84699999999999953</v>
      </c>
      <c r="L35" s="1"/>
    </row>
    <row r="36" spans="1:12" x14ac:dyDescent="0.3">
      <c r="A36" s="13" t="s">
        <v>91</v>
      </c>
      <c r="B36" s="1" t="s">
        <v>60</v>
      </c>
      <c r="C36" s="18" t="s">
        <v>83</v>
      </c>
      <c r="D36" s="1" t="s">
        <v>44</v>
      </c>
      <c r="E36" s="1" t="s">
        <v>47</v>
      </c>
      <c r="F36" s="1" t="s">
        <v>86</v>
      </c>
      <c r="G36" s="11">
        <v>23.5</v>
      </c>
      <c r="H36" s="1">
        <v>24.5</v>
      </c>
      <c r="I36" s="1">
        <v>22.5</v>
      </c>
      <c r="J36" s="11">
        <v>36.869999999999997</v>
      </c>
      <c r="K36" s="9">
        <f t="shared" si="3"/>
        <v>0.92049999999999876</v>
      </c>
      <c r="L36" s="1"/>
    </row>
    <row r="37" spans="1:12" x14ac:dyDescent="0.3">
      <c r="A37" s="13" t="s">
        <v>92</v>
      </c>
      <c r="B37" s="1" t="s">
        <v>60</v>
      </c>
      <c r="C37" s="18" t="s">
        <v>84</v>
      </c>
      <c r="D37" s="1" t="s">
        <v>44</v>
      </c>
      <c r="E37" s="1" t="s">
        <v>47</v>
      </c>
      <c r="F37" s="1" t="s">
        <v>86</v>
      </c>
      <c r="G37" s="11">
        <v>23.5</v>
      </c>
      <c r="H37" s="1">
        <v>24.5</v>
      </c>
      <c r="I37" s="1">
        <v>22.5</v>
      </c>
      <c r="J37" s="11">
        <v>36.869999999999997</v>
      </c>
      <c r="K37" s="9">
        <f t="shared" si="3"/>
        <v>0.92049999999999876</v>
      </c>
      <c r="L37" s="1"/>
    </row>
    <row r="38" spans="1:12" x14ac:dyDescent="0.3">
      <c r="A38" s="13" t="s">
        <v>93</v>
      </c>
      <c r="B38" s="1" t="s">
        <v>60</v>
      </c>
      <c r="C38" s="18" t="s">
        <v>84</v>
      </c>
      <c r="D38" s="1" t="s">
        <v>44</v>
      </c>
      <c r="E38" s="1" t="s">
        <v>47</v>
      </c>
      <c r="F38" s="1" t="s">
        <v>86</v>
      </c>
      <c r="G38" s="11">
        <v>23.5</v>
      </c>
      <c r="H38" s="1">
        <v>24.5</v>
      </c>
      <c r="I38" s="1">
        <v>22.5</v>
      </c>
      <c r="J38" s="11">
        <v>36.869999999999997</v>
      </c>
      <c r="K38" s="9">
        <f t="shared" si="3"/>
        <v>0.92049999999999876</v>
      </c>
      <c r="L38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pane xSplit="1" ySplit="1" topLeftCell="H8" activePane="bottomRight" state="frozen"/>
      <selection pane="topRight" activeCell="B1" sqref="B1"/>
      <selection pane="bottomLeft" activeCell="A2" sqref="A2"/>
      <selection pane="bottomRight" activeCell="L23" sqref="L23"/>
    </sheetView>
  </sheetViews>
  <sheetFormatPr baseColWidth="10" defaultRowHeight="14.4" x14ac:dyDescent="0.3"/>
  <cols>
    <col min="1" max="1" width="11.5546875" style="1"/>
    <col min="2" max="2" width="21.44140625" style="1" customWidth="1"/>
    <col min="3" max="3" width="5.5546875" style="1" customWidth="1"/>
    <col min="4" max="7" width="11.5546875" style="1"/>
    <col min="8" max="11" width="12.6640625" style="1" customWidth="1"/>
    <col min="12" max="12" width="11.6640625" style="1" customWidth="1"/>
    <col min="13" max="16384" width="11.5546875" style="1"/>
  </cols>
  <sheetData>
    <row r="1" spans="1:13" x14ac:dyDescent="0.3">
      <c r="A1" s="1" t="s">
        <v>0</v>
      </c>
      <c r="B1" s="1" t="s">
        <v>4</v>
      </c>
      <c r="C1" s="1" t="s">
        <v>17</v>
      </c>
      <c r="D1" s="1" t="s">
        <v>12</v>
      </c>
      <c r="E1" s="1" t="s">
        <v>18</v>
      </c>
      <c r="F1" s="1" t="s">
        <v>13</v>
      </c>
      <c r="G1" s="1" t="s">
        <v>18</v>
      </c>
      <c r="H1" s="1" t="s">
        <v>14</v>
      </c>
      <c r="I1" s="1" t="s">
        <v>18</v>
      </c>
      <c r="J1" s="1" t="s">
        <v>15</v>
      </c>
      <c r="K1" s="1" t="s">
        <v>18</v>
      </c>
      <c r="L1" s="1" t="s">
        <v>16</v>
      </c>
      <c r="M1" s="1" t="s">
        <v>18</v>
      </c>
    </row>
    <row r="2" spans="1:13" x14ac:dyDescent="0.3">
      <c r="A2" s="1">
        <v>130</v>
      </c>
      <c r="B2" s="1" t="s">
        <v>32</v>
      </c>
      <c r="C2" s="14">
        <v>10</v>
      </c>
      <c r="D2" s="10">
        <v>-0.65262331320482148</v>
      </c>
      <c r="E2" s="10">
        <v>1.7445004059092863E-2</v>
      </c>
      <c r="F2" s="10">
        <v>-0.3956384631302321</v>
      </c>
      <c r="G2" s="10">
        <v>5.8053653886586315E-2</v>
      </c>
      <c r="H2" s="12">
        <v>0.7649464352968478</v>
      </c>
      <c r="I2" s="15">
        <v>7.7892088448315569E-3</v>
      </c>
      <c r="J2" s="12">
        <f>H2-0.081</f>
        <v>0.68394643529684784</v>
      </c>
      <c r="K2" s="12">
        <f>I2</f>
        <v>7.7892088448315569E-3</v>
      </c>
      <c r="L2" s="12"/>
      <c r="M2" s="12"/>
    </row>
    <row r="3" spans="1:13" x14ac:dyDescent="0.3">
      <c r="A3" s="1">
        <v>143</v>
      </c>
      <c r="B3" s="1" t="s">
        <v>56</v>
      </c>
      <c r="C3" s="14">
        <v>10</v>
      </c>
      <c r="D3" s="5">
        <v>-0.32849519305073954</v>
      </c>
      <c r="E3" s="5">
        <v>8.7639827209477304E-3</v>
      </c>
      <c r="F3" s="10">
        <v>-5.3156433122759611E-2</v>
      </c>
      <c r="G3" s="5">
        <v>4.0808022396985444E-2</v>
      </c>
      <c r="H3" s="12">
        <v>0.75123658929799475</v>
      </c>
      <c r="I3" s="15">
        <v>3.9679647343844717E-3</v>
      </c>
      <c r="J3" s="12">
        <f t="shared" ref="J3:J16" si="0">H3-0.081</f>
        <v>0.67023658929799479</v>
      </c>
      <c r="K3" s="12">
        <f t="shared" ref="K3:K16" si="1">I3</f>
        <v>3.9679647343844717E-3</v>
      </c>
      <c r="L3" s="12">
        <v>0.66400000000000003</v>
      </c>
      <c r="M3" s="12">
        <v>3.0000000000000001E-3</v>
      </c>
    </row>
    <row r="4" spans="1:13" x14ac:dyDescent="0.3">
      <c r="A4" s="1" t="s">
        <v>19</v>
      </c>
      <c r="B4" s="1" t="s">
        <v>32</v>
      </c>
      <c r="C4" s="14">
        <v>5</v>
      </c>
      <c r="D4" s="10">
        <v>1.7249625396331123</v>
      </c>
      <c r="E4" s="10">
        <v>6.2458829371335317E-3</v>
      </c>
      <c r="F4" s="10">
        <v>0.39040178859799002</v>
      </c>
      <c r="G4" s="10">
        <v>1.1685625823139029E-2</v>
      </c>
      <c r="H4" s="12">
        <v>0.7672159942301251</v>
      </c>
      <c r="I4" s="15">
        <v>3.9343105778033485E-3</v>
      </c>
      <c r="J4" s="12">
        <f t="shared" si="0"/>
        <v>0.68621599423012514</v>
      </c>
      <c r="K4" s="12">
        <f t="shared" si="1"/>
        <v>3.9343105778033485E-3</v>
      </c>
      <c r="L4" s="12"/>
      <c r="M4" s="12"/>
    </row>
    <row r="5" spans="1:13" x14ac:dyDescent="0.3">
      <c r="A5" s="1" t="s">
        <v>20</v>
      </c>
      <c r="B5" s="1" t="s">
        <v>32</v>
      </c>
      <c r="C5" s="14">
        <v>6</v>
      </c>
      <c r="D5" s="10">
        <v>-0.87776857300509914</v>
      </c>
      <c r="E5" s="10">
        <v>1.5678393410937838E-2</v>
      </c>
      <c r="F5" s="10">
        <v>-0.56003111799446448</v>
      </c>
      <c r="G5" s="10">
        <v>1.9327184798199924E-2</v>
      </c>
      <c r="H5" s="12">
        <v>0.75748178649837106</v>
      </c>
      <c r="I5" s="15">
        <v>4.5128616710590087E-3</v>
      </c>
      <c r="J5" s="12">
        <f t="shared" si="0"/>
        <v>0.6764817864983711</v>
      </c>
      <c r="K5" s="12">
        <f t="shared" si="1"/>
        <v>4.5128616710590087E-3</v>
      </c>
      <c r="L5" s="12"/>
      <c r="M5" s="12"/>
    </row>
    <row r="6" spans="1:13" x14ac:dyDescent="0.3">
      <c r="A6" s="1" t="s">
        <v>21</v>
      </c>
      <c r="B6" s="1" t="s">
        <v>32</v>
      </c>
      <c r="C6" s="14">
        <v>10</v>
      </c>
      <c r="D6" s="10">
        <v>8.913546108628341E-2</v>
      </c>
      <c r="E6" s="10">
        <v>3.4531432686646948E-2</v>
      </c>
      <c r="F6" s="10">
        <v>-1.6069769896673858E-2</v>
      </c>
      <c r="G6" s="10">
        <v>3.7549247447838358E-2</v>
      </c>
      <c r="H6" s="12">
        <v>0.74946434146233654</v>
      </c>
      <c r="I6" s="15">
        <v>7.0885596702496634E-3</v>
      </c>
      <c r="J6" s="12">
        <f t="shared" si="0"/>
        <v>0.66846434146233658</v>
      </c>
      <c r="K6" s="12">
        <f t="shared" si="1"/>
        <v>7.0885596702496634E-3</v>
      </c>
      <c r="L6" s="12"/>
      <c r="M6" s="12"/>
    </row>
    <row r="7" spans="1:13" x14ac:dyDescent="0.3">
      <c r="A7" s="1" t="s">
        <v>22</v>
      </c>
      <c r="B7" s="1" t="s">
        <v>32</v>
      </c>
      <c r="C7" s="14">
        <v>5</v>
      </c>
      <c r="D7" s="5">
        <v>1.4972435144211336</v>
      </c>
      <c r="E7" s="5">
        <v>9.5076365449931078E-3</v>
      </c>
      <c r="F7" s="10">
        <v>0.52588408759787153</v>
      </c>
      <c r="G7" s="5">
        <v>1.4690185878047931E-2</v>
      </c>
      <c r="H7" s="12">
        <v>0.69756827053265724</v>
      </c>
      <c r="I7" s="16">
        <v>5.7736716974069657E-3</v>
      </c>
      <c r="J7" s="12">
        <f t="shared" si="0"/>
        <v>0.61656827053265728</v>
      </c>
      <c r="K7" s="12">
        <f t="shared" si="1"/>
        <v>5.7736716974069657E-3</v>
      </c>
      <c r="L7" s="12"/>
      <c r="M7" s="12"/>
    </row>
    <row r="8" spans="1:13" x14ac:dyDescent="0.3">
      <c r="A8" s="1" t="s">
        <v>23</v>
      </c>
      <c r="B8" s="1" t="s">
        <v>32</v>
      </c>
      <c r="C8" s="14">
        <v>5</v>
      </c>
      <c r="D8" s="10">
        <v>0.81425237971081132</v>
      </c>
      <c r="E8" s="10">
        <v>1.0568262961723456E-2</v>
      </c>
      <c r="F8" s="10">
        <v>-2.1940066319994629</v>
      </c>
      <c r="G8" s="10">
        <v>2.3303306098854597E-2</v>
      </c>
      <c r="H8" s="12">
        <v>0.66381162201536337</v>
      </c>
      <c r="I8" s="15">
        <v>7.0948517282846991E-3</v>
      </c>
      <c r="J8" s="12">
        <f t="shared" si="0"/>
        <v>0.58281162201536341</v>
      </c>
      <c r="K8" s="12">
        <f t="shared" si="1"/>
        <v>7.0948517282846991E-3</v>
      </c>
      <c r="L8" s="12"/>
      <c r="M8" s="12"/>
    </row>
    <row r="9" spans="1:13" x14ac:dyDescent="0.3">
      <c r="A9" s="1" t="s">
        <v>24</v>
      </c>
      <c r="B9" s="1" t="s">
        <v>32</v>
      </c>
      <c r="C9" s="14">
        <v>5</v>
      </c>
      <c r="D9" s="10">
        <v>2.0503518783747028</v>
      </c>
      <c r="E9" s="10">
        <v>8.1317841163830486E-3</v>
      </c>
      <c r="F9" s="10">
        <v>0.63225684972457519</v>
      </c>
      <c r="G9" s="10">
        <v>3.0888974756688066E-2</v>
      </c>
      <c r="H9" s="12">
        <v>0.70067884319418805</v>
      </c>
      <c r="I9" s="15">
        <v>1.0126631493655417E-2</v>
      </c>
      <c r="J9" s="12">
        <f t="shared" si="0"/>
        <v>0.61967884319418809</v>
      </c>
      <c r="K9" s="12">
        <f t="shared" si="1"/>
        <v>1.0126631493655417E-2</v>
      </c>
      <c r="L9" s="12"/>
      <c r="M9" s="12"/>
    </row>
    <row r="10" spans="1:13" x14ac:dyDescent="0.3">
      <c r="A10" s="1" t="s">
        <v>25</v>
      </c>
      <c r="B10" s="1" t="s">
        <v>32</v>
      </c>
      <c r="C10" s="14">
        <v>4</v>
      </c>
      <c r="D10" s="10">
        <v>1.7531420082228379</v>
      </c>
      <c r="E10" s="10">
        <v>1.9342269952103478E-2</v>
      </c>
      <c r="F10" s="10">
        <v>0.76355415893508072</v>
      </c>
      <c r="G10" s="10">
        <v>3.2463380589998467E-2</v>
      </c>
      <c r="H10" s="12">
        <v>0.68385387152293631</v>
      </c>
      <c r="I10" s="15">
        <v>7.1502059679153154E-3</v>
      </c>
      <c r="J10" s="12">
        <f t="shared" si="0"/>
        <v>0.60285387152293635</v>
      </c>
      <c r="K10" s="12">
        <f t="shared" si="1"/>
        <v>7.1502059679153154E-3</v>
      </c>
      <c r="L10" s="12"/>
      <c r="M10" s="12"/>
    </row>
    <row r="11" spans="1:13" x14ac:dyDescent="0.3">
      <c r="A11" s="1" t="s">
        <v>26</v>
      </c>
      <c r="B11" s="1" t="s">
        <v>32</v>
      </c>
      <c r="C11" s="14">
        <v>6</v>
      </c>
      <c r="D11" s="10">
        <v>1.7591480705138791</v>
      </c>
      <c r="E11" s="10">
        <v>6.3352546395667097E-3</v>
      </c>
      <c r="F11" s="10">
        <v>1.1248983734819575</v>
      </c>
      <c r="G11" s="10">
        <v>1.5359345418171638E-2</v>
      </c>
      <c r="H11" s="12">
        <v>0.73187640157148792</v>
      </c>
      <c r="I11" s="15">
        <v>1.2921419505322714E-2</v>
      </c>
      <c r="J11" s="12">
        <f t="shared" si="0"/>
        <v>0.65087640157148796</v>
      </c>
      <c r="K11" s="12">
        <f t="shared" si="1"/>
        <v>1.2921419505322714E-2</v>
      </c>
      <c r="L11" s="12"/>
      <c r="M11" s="12"/>
    </row>
    <row r="12" spans="1:13" x14ac:dyDescent="0.3">
      <c r="A12" s="1" t="s">
        <v>27</v>
      </c>
      <c r="B12" s="1" t="s">
        <v>32</v>
      </c>
      <c r="C12" s="14">
        <v>6</v>
      </c>
      <c r="D12" s="10">
        <v>0.74758705022602834</v>
      </c>
      <c r="E12" s="10">
        <v>7.7056753109997827E-3</v>
      </c>
      <c r="F12" s="10">
        <v>0.5207690294669528</v>
      </c>
      <c r="G12" s="10">
        <v>1.1928031195433545E-2</v>
      </c>
      <c r="H12" s="12">
        <v>0.73986406916948921</v>
      </c>
      <c r="I12" s="15">
        <v>4.0718544312844454E-3</v>
      </c>
      <c r="J12" s="12">
        <f t="shared" si="0"/>
        <v>0.65886406916948925</v>
      </c>
      <c r="K12" s="12">
        <f t="shared" si="1"/>
        <v>4.0718544312844454E-3</v>
      </c>
      <c r="L12" s="12"/>
      <c r="M12" s="12"/>
    </row>
    <row r="13" spans="1:13" x14ac:dyDescent="0.3">
      <c r="A13" s="1" t="s">
        <v>28</v>
      </c>
      <c r="B13" s="1" t="s">
        <v>32</v>
      </c>
      <c r="C13" s="14">
        <v>6</v>
      </c>
      <c r="D13" s="10">
        <v>2.164593565952186</v>
      </c>
      <c r="E13" s="10">
        <v>1.9400647333274536E-2</v>
      </c>
      <c r="F13" s="10">
        <v>1.0316607502728603</v>
      </c>
      <c r="G13" s="10">
        <v>2.5782119926404039E-2</v>
      </c>
      <c r="H13" s="12">
        <v>0.72086283745482982</v>
      </c>
      <c r="I13" s="15">
        <v>7.1306014361114658E-3</v>
      </c>
      <c r="J13" s="12">
        <f t="shared" si="0"/>
        <v>0.63986283745482986</v>
      </c>
      <c r="K13" s="12">
        <f t="shared" si="1"/>
        <v>7.1306014361114658E-3</v>
      </c>
      <c r="L13" s="12"/>
      <c r="M13" s="12"/>
    </row>
    <row r="14" spans="1:13" x14ac:dyDescent="0.3">
      <c r="A14" s="1" t="s">
        <v>29</v>
      </c>
      <c r="B14" s="1" t="s">
        <v>32</v>
      </c>
      <c r="C14" s="14">
        <v>6</v>
      </c>
      <c r="D14" s="10">
        <v>2.1330206526746793</v>
      </c>
      <c r="E14" s="10">
        <v>9.0578892632013647E-3</v>
      </c>
      <c r="F14" s="10">
        <v>1.0720848170405377</v>
      </c>
      <c r="G14" s="10">
        <v>2.699388856214293E-2</v>
      </c>
      <c r="H14" s="12">
        <v>0.72897615080444267</v>
      </c>
      <c r="I14" s="15">
        <v>1.0292948673745517E-2</v>
      </c>
      <c r="J14" s="12">
        <f t="shared" si="0"/>
        <v>0.64797615080444271</v>
      </c>
      <c r="K14" s="12">
        <f t="shared" si="1"/>
        <v>1.0292948673745517E-2</v>
      </c>
      <c r="L14" s="12"/>
      <c r="M14" s="12"/>
    </row>
    <row r="15" spans="1:13" x14ac:dyDescent="0.3">
      <c r="A15" s="1" t="s">
        <v>30</v>
      </c>
      <c r="B15" s="1" t="s">
        <v>32</v>
      </c>
      <c r="C15" s="14">
        <v>5</v>
      </c>
      <c r="D15" s="10">
        <v>1.1585722274170627</v>
      </c>
      <c r="E15" s="10">
        <v>1.2452201403064835E-2</v>
      </c>
      <c r="F15" s="10">
        <v>0.81502362514691928</v>
      </c>
      <c r="G15" s="10">
        <v>7.271792672859384E-2</v>
      </c>
      <c r="H15" s="12">
        <v>0.74766781992751052</v>
      </c>
      <c r="I15" s="15">
        <v>4.0852532729430445E-3</v>
      </c>
      <c r="J15" s="12">
        <f t="shared" si="0"/>
        <v>0.66666781992751056</v>
      </c>
      <c r="K15" s="12">
        <f t="shared" si="1"/>
        <v>4.0852532729430445E-3</v>
      </c>
      <c r="L15" s="12"/>
      <c r="M15" s="12"/>
    </row>
    <row r="16" spans="1:13" x14ac:dyDescent="0.3">
      <c r="A16" s="1" t="s">
        <v>31</v>
      </c>
      <c r="B16" s="1" t="s">
        <v>32</v>
      </c>
      <c r="C16" s="14">
        <v>6</v>
      </c>
      <c r="D16" s="10">
        <v>2.4282082405399836</v>
      </c>
      <c r="E16" s="10">
        <v>4.8545792859491536E-3</v>
      </c>
      <c r="F16" s="10">
        <v>1.6877598000573824</v>
      </c>
      <c r="G16" s="10">
        <v>1.5493708722891549E-2</v>
      </c>
      <c r="H16" s="12">
        <v>0.74094310334967506</v>
      </c>
      <c r="I16" s="15">
        <v>4.5206235042260989E-3</v>
      </c>
      <c r="J16" s="12">
        <f t="shared" si="0"/>
        <v>0.6599431033496751</v>
      </c>
      <c r="K16" s="12">
        <f t="shared" si="1"/>
        <v>4.5206235042260989E-3</v>
      </c>
      <c r="L16" s="12"/>
      <c r="M16" s="12"/>
    </row>
    <row r="17" spans="1:13" x14ac:dyDescent="0.3">
      <c r="A17" s="13" t="s">
        <v>57</v>
      </c>
      <c r="B17" s="1" t="s">
        <v>60</v>
      </c>
      <c r="C17" s="1">
        <v>3</v>
      </c>
      <c r="D17" s="3">
        <v>0.52</v>
      </c>
      <c r="E17" s="11">
        <v>0.02</v>
      </c>
      <c r="F17" s="3">
        <v>0.47</v>
      </c>
      <c r="G17" s="11">
        <v>0.03</v>
      </c>
      <c r="L17" s="20">
        <v>0.66390000000000005</v>
      </c>
      <c r="M17" s="20">
        <f>0.0086/2</f>
        <v>4.3E-3</v>
      </c>
    </row>
    <row r="18" spans="1:13" x14ac:dyDescent="0.3">
      <c r="A18" s="13" t="s">
        <v>58</v>
      </c>
      <c r="B18" s="1" t="s">
        <v>60</v>
      </c>
      <c r="C18" s="1">
        <v>3</v>
      </c>
      <c r="D18" s="3">
        <v>2.91</v>
      </c>
      <c r="E18" s="11">
        <v>0.02</v>
      </c>
      <c r="F18" s="3">
        <v>1.55</v>
      </c>
      <c r="G18" s="11">
        <v>0.03</v>
      </c>
      <c r="L18" s="20">
        <v>0.62949999999999995</v>
      </c>
      <c r="M18" s="20">
        <f t="shared" ref="M18" si="2">0.0086/2</f>
        <v>4.3E-3</v>
      </c>
    </row>
    <row r="19" spans="1:13" x14ac:dyDescent="0.3">
      <c r="A19" s="13" t="s">
        <v>59</v>
      </c>
      <c r="B19" s="1" t="s">
        <v>60</v>
      </c>
      <c r="C19" s="1">
        <v>3</v>
      </c>
      <c r="D19" s="3">
        <v>2.1</v>
      </c>
      <c r="E19" s="11">
        <v>0.02</v>
      </c>
      <c r="F19" s="3">
        <v>1.25</v>
      </c>
      <c r="G19" s="11">
        <v>0.03</v>
      </c>
      <c r="L19" s="20">
        <v>0.65</v>
      </c>
      <c r="M19" s="20">
        <f>0.0086/2</f>
        <v>4.3E-3</v>
      </c>
    </row>
    <row r="20" spans="1:13" x14ac:dyDescent="0.3">
      <c r="A20" s="14" t="s">
        <v>61</v>
      </c>
      <c r="B20" s="1" t="s">
        <v>32</v>
      </c>
      <c r="C20" s="1">
        <v>4</v>
      </c>
      <c r="D20" s="10">
        <v>2.0039929349783621</v>
      </c>
      <c r="E20" s="10">
        <v>7.1236734454118772E-3</v>
      </c>
      <c r="F20" s="10">
        <v>2.3136491680714815</v>
      </c>
      <c r="G20" s="10">
        <v>1.082213185283129E-2</v>
      </c>
      <c r="H20" s="12">
        <v>0.75396014688293089</v>
      </c>
      <c r="I20" s="15">
        <v>9.1374787506938136E-3</v>
      </c>
      <c r="J20" s="12">
        <f t="shared" ref="J20:J22" si="3">H20-0.081</f>
        <v>0.67296014688293093</v>
      </c>
      <c r="K20" s="12">
        <f t="shared" ref="K20:K22" si="4">I20</f>
        <v>9.1374787506938136E-3</v>
      </c>
      <c r="L20" s="12"/>
      <c r="M20" s="12"/>
    </row>
    <row r="21" spans="1:13" x14ac:dyDescent="0.3">
      <c r="A21" s="14" t="s">
        <v>62</v>
      </c>
      <c r="B21" s="1" t="s">
        <v>32</v>
      </c>
      <c r="C21" s="1">
        <v>4</v>
      </c>
      <c r="D21" s="10">
        <v>1.4504056378537695</v>
      </c>
      <c r="E21" s="10">
        <v>8.5630359136036963E-3</v>
      </c>
      <c r="F21" s="10">
        <v>3.1298662640548338</v>
      </c>
      <c r="G21" s="10">
        <v>2.973819384014003E-2</v>
      </c>
      <c r="H21" s="12">
        <v>0.76712741413889618</v>
      </c>
      <c r="I21" s="15">
        <v>6.7981816867721074E-3</v>
      </c>
      <c r="J21" s="12">
        <f t="shared" si="3"/>
        <v>0.68612741413889622</v>
      </c>
      <c r="K21" s="12">
        <f t="shared" si="4"/>
        <v>6.7981816867721074E-3</v>
      </c>
      <c r="L21" s="12"/>
      <c r="M21" s="12"/>
    </row>
    <row r="22" spans="1:13" x14ac:dyDescent="0.3">
      <c r="A22" s="14" t="s">
        <v>63</v>
      </c>
      <c r="B22" s="1" t="s">
        <v>32</v>
      </c>
      <c r="C22" s="1">
        <v>5</v>
      </c>
      <c r="D22" s="10">
        <v>1.7147389485307649</v>
      </c>
      <c r="E22" s="10">
        <v>7.1792612033162078E-3</v>
      </c>
      <c r="F22" s="10">
        <v>3.9253475031471745</v>
      </c>
      <c r="G22" s="10">
        <v>2.0028334305576531E-2</v>
      </c>
      <c r="H22" s="12">
        <v>0.7651535539049894</v>
      </c>
      <c r="I22" s="15">
        <v>6.4649531406061949E-3</v>
      </c>
      <c r="J22" s="12">
        <f t="shared" si="3"/>
        <v>0.68415355390498944</v>
      </c>
      <c r="K22" s="12">
        <f t="shared" si="4"/>
        <v>6.4649531406061949E-3</v>
      </c>
      <c r="L22" s="12"/>
      <c r="M22" s="12"/>
    </row>
    <row r="23" spans="1:13" x14ac:dyDescent="0.3">
      <c r="A23" s="1" t="s">
        <v>71</v>
      </c>
      <c r="B23" s="1" t="s">
        <v>60</v>
      </c>
      <c r="C23" s="1">
        <v>4</v>
      </c>
      <c r="D23" s="3">
        <v>1.01</v>
      </c>
      <c r="E23" s="11">
        <v>0.02</v>
      </c>
      <c r="F23" s="3">
        <v>3.98</v>
      </c>
      <c r="G23" s="11">
        <v>0.03</v>
      </c>
      <c r="L23" s="20">
        <v>0.69210000000000005</v>
      </c>
      <c r="M23" s="20">
        <f>0.0078/2</f>
        <v>3.8999999999999998E-3</v>
      </c>
    </row>
    <row r="24" spans="1:13" x14ac:dyDescent="0.3">
      <c r="A24" s="1" t="s">
        <v>72</v>
      </c>
      <c r="B24" s="1" t="s">
        <v>60</v>
      </c>
      <c r="C24" s="1">
        <v>3</v>
      </c>
      <c r="D24" s="3">
        <v>0.63</v>
      </c>
      <c r="E24" s="11">
        <v>0.02</v>
      </c>
      <c r="F24" s="3">
        <v>3.33</v>
      </c>
      <c r="G24" s="11">
        <v>0.03</v>
      </c>
      <c r="L24" s="20">
        <v>0.69410000000000005</v>
      </c>
      <c r="M24" s="20">
        <f>0.0087/2</f>
        <v>4.3499999999999997E-3</v>
      </c>
    </row>
    <row r="25" spans="1:13" x14ac:dyDescent="0.3">
      <c r="A25" s="13" t="s">
        <v>75</v>
      </c>
      <c r="B25" s="1" t="s">
        <v>60</v>
      </c>
      <c r="C25" s="1">
        <v>5</v>
      </c>
      <c r="D25" s="3">
        <v>2.5</v>
      </c>
      <c r="E25" s="11">
        <v>0.02</v>
      </c>
      <c r="F25" s="3">
        <v>2.96</v>
      </c>
      <c r="G25" s="11">
        <v>0.03</v>
      </c>
      <c r="L25" s="20">
        <v>0.66639999999999999</v>
      </c>
      <c r="M25" s="20">
        <f>0.0071/2</f>
        <v>3.5500000000000002E-3</v>
      </c>
    </row>
    <row r="26" spans="1:13" x14ac:dyDescent="0.3">
      <c r="A26" s="13" t="s">
        <v>76</v>
      </c>
      <c r="B26" s="1" t="s">
        <v>60</v>
      </c>
      <c r="C26" s="1">
        <v>5</v>
      </c>
      <c r="D26" s="3">
        <v>1.86</v>
      </c>
      <c r="E26" s="11">
        <v>0.02</v>
      </c>
      <c r="F26" s="3">
        <v>2.79</v>
      </c>
      <c r="G26" s="11">
        <v>0.03</v>
      </c>
      <c r="L26" s="20">
        <v>0.67520000000000002</v>
      </c>
      <c r="M26" s="20">
        <f>0.0071/2</f>
        <v>3.5500000000000002E-3</v>
      </c>
    </row>
    <row r="27" spans="1:13" x14ac:dyDescent="0.3">
      <c r="A27" s="13" t="s">
        <v>77</v>
      </c>
      <c r="B27" s="1" t="s">
        <v>60</v>
      </c>
      <c r="C27" s="1">
        <v>3</v>
      </c>
      <c r="D27" s="3">
        <v>2.0299999999999998</v>
      </c>
      <c r="E27" s="11">
        <v>0.02</v>
      </c>
      <c r="F27" s="3">
        <v>3.37</v>
      </c>
      <c r="G27" s="11">
        <v>0.03</v>
      </c>
      <c r="L27" s="20">
        <v>0.66700000000000004</v>
      </c>
      <c r="M27" s="20">
        <f>0.0087/2</f>
        <v>4.3499999999999997E-3</v>
      </c>
    </row>
    <row r="28" spans="1:13" x14ac:dyDescent="0.3">
      <c r="A28" s="13" t="s">
        <v>78</v>
      </c>
      <c r="B28" s="1" t="s">
        <v>60</v>
      </c>
      <c r="C28" s="1">
        <v>5</v>
      </c>
      <c r="D28" s="3">
        <v>1.57</v>
      </c>
      <c r="E28" s="11">
        <v>0.02</v>
      </c>
      <c r="F28" s="3">
        <v>2.57</v>
      </c>
      <c r="G28" s="11">
        <v>0.03</v>
      </c>
      <c r="L28" s="20">
        <v>0.68110000000000004</v>
      </c>
      <c r="M28" s="20">
        <f>0.0071/2</f>
        <v>3.5500000000000002E-3</v>
      </c>
    </row>
    <row r="29" spans="1:13" x14ac:dyDescent="0.3">
      <c r="A29" s="13" t="s">
        <v>79</v>
      </c>
      <c r="B29" s="1" t="s">
        <v>60</v>
      </c>
      <c r="C29" s="1">
        <v>5</v>
      </c>
      <c r="D29" s="3">
        <v>1.36</v>
      </c>
      <c r="E29" s="11">
        <v>0.02</v>
      </c>
      <c r="F29" s="3">
        <v>2.2599999999999998</v>
      </c>
      <c r="G29" s="11">
        <v>0.03</v>
      </c>
      <c r="L29" s="20">
        <v>0.68689999999999996</v>
      </c>
      <c r="M29" s="20">
        <f>0.0073/2</f>
        <v>3.65E-3</v>
      </c>
    </row>
    <row r="30" spans="1:13" x14ac:dyDescent="0.3">
      <c r="A30" s="11" t="s">
        <v>87</v>
      </c>
      <c r="B30" s="1" t="s">
        <v>60</v>
      </c>
      <c r="C30" s="1">
        <v>3</v>
      </c>
      <c r="D30" s="3">
        <v>2.72</v>
      </c>
      <c r="E30" s="11">
        <v>0.01</v>
      </c>
      <c r="F30" s="3">
        <v>2.04</v>
      </c>
      <c r="G30" s="11">
        <v>0.02</v>
      </c>
      <c r="L30" s="20">
        <v>0.63870000000000005</v>
      </c>
      <c r="M30" s="20">
        <f>0.0109/2</f>
        <v>5.45E-3</v>
      </c>
    </row>
    <row r="31" spans="1:13" x14ac:dyDescent="0.3">
      <c r="A31" s="11" t="s">
        <v>88</v>
      </c>
      <c r="B31" s="1" t="s">
        <v>60</v>
      </c>
      <c r="C31" s="1">
        <v>2</v>
      </c>
      <c r="D31" s="3">
        <v>2.8</v>
      </c>
      <c r="E31" s="11">
        <v>0.01</v>
      </c>
      <c r="F31" s="3">
        <v>0.88</v>
      </c>
      <c r="G31" s="11">
        <v>0.02</v>
      </c>
      <c r="L31" s="20">
        <v>0.621</v>
      </c>
      <c r="M31" s="20">
        <f>0.0131/2</f>
        <v>6.5500000000000003E-3</v>
      </c>
    </row>
    <row r="32" spans="1:13" x14ac:dyDescent="0.3">
      <c r="A32" s="11" t="s">
        <v>94</v>
      </c>
      <c r="B32" s="1" t="s">
        <v>60</v>
      </c>
      <c r="C32" s="1">
        <v>3</v>
      </c>
      <c r="D32" s="3">
        <v>1.87</v>
      </c>
      <c r="E32" s="11">
        <v>0.01</v>
      </c>
      <c r="F32" s="3">
        <v>0.91</v>
      </c>
      <c r="G32" s="11">
        <v>0.02</v>
      </c>
      <c r="L32" s="20">
        <v>0.63880000000000003</v>
      </c>
      <c r="M32" s="20">
        <f>0.0109/2</f>
        <v>5.45E-3</v>
      </c>
    </row>
    <row r="33" spans="1:13" x14ac:dyDescent="0.3">
      <c r="A33" s="13" t="s">
        <v>90</v>
      </c>
      <c r="B33" s="1" t="s">
        <v>60</v>
      </c>
      <c r="C33" s="1">
        <v>5</v>
      </c>
      <c r="D33" s="3">
        <v>2.75</v>
      </c>
      <c r="E33" s="11">
        <v>0.03</v>
      </c>
      <c r="F33" s="3">
        <v>1.44</v>
      </c>
      <c r="G33" s="11">
        <v>0.03</v>
      </c>
      <c r="L33" s="20">
        <v>0.61129999999999995</v>
      </c>
      <c r="M33" s="20">
        <f>0.0069/2</f>
        <v>3.4499999999999999E-3</v>
      </c>
    </row>
    <row r="34" spans="1:13" x14ac:dyDescent="0.3">
      <c r="A34" s="13" t="s">
        <v>89</v>
      </c>
      <c r="B34" s="1" t="s">
        <v>60</v>
      </c>
      <c r="C34" s="1">
        <v>5</v>
      </c>
      <c r="D34" s="3">
        <v>1.97</v>
      </c>
      <c r="E34" s="11">
        <v>0.05</v>
      </c>
      <c r="F34" s="3">
        <v>1.22</v>
      </c>
      <c r="G34" s="11">
        <v>0.1</v>
      </c>
      <c r="L34" s="20">
        <v>0.63119999999999998</v>
      </c>
      <c r="M34" s="20">
        <f>0.0086/2</f>
        <v>4.3E-3</v>
      </c>
    </row>
    <row r="35" spans="1:13" x14ac:dyDescent="0.3">
      <c r="A35" s="13" t="s">
        <v>95</v>
      </c>
      <c r="B35" s="1" t="s">
        <v>60</v>
      </c>
      <c r="C35" s="1">
        <v>5</v>
      </c>
      <c r="D35" s="3">
        <v>1.75</v>
      </c>
      <c r="E35" s="11">
        <v>0.01</v>
      </c>
      <c r="F35" s="3">
        <v>1.08</v>
      </c>
      <c r="G35" s="11">
        <v>0.02</v>
      </c>
      <c r="L35" s="20">
        <v>0.62480000000000002</v>
      </c>
      <c r="M35" s="20">
        <f>0.0086/2</f>
        <v>4.3E-3</v>
      </c>
    </row>
    <row r="36" spans="1:13" x14ac:dyDescent="0.3">
      <c r="A36" s="13" t="s">
        <v>91</v>
      </c>
      <c r="B36" s="1" t="s">
        <v>60</v>
      </c>
      <c r="C36" s="1">
        <v>4</v>
      </c>
      <c r="D36" s="3">
        <v>2.75</v>
      </c>
      <c r="E36" s="11">
        <v>0.01</v>
      </c>
      <c r="F36" s="3">
        <v>0.14000000000000001</v>
      </c>
      <c r="G36" s="11">
        <v>0.01</v>
      </c>
      <c r="L36" s="20">
        <v>0.59740000000000004</v>
      </c>
      <c r="M36" s="20">
        <f>0.0094/2</f>
        <v>4.7000000000000002E-3</v>
      </c>
    </row>
    <row r="37" spans="1:13" x14ac:dyDescent="0.3">
      <c r="A37" s="13" t="s">
        <v>92</v>
      </c>
      <c r="B37" s="1" t="s">
        <v>60</v>
      </c>
      <c r="C37" s="1">
        <v>4</v>
      </c>
      <c r="D37" s="3">
        <v>2.68</v>
      </c>
      <c r="E37" s="11">
        <v>0.01</v>
      </c>
      <c r="F37" s="3">
        <v>0.18</v>
      </c>
      <c r="G37" s="11">
        <v>0.02</v>
      </c>
      <c r="L37" s="20">
        <v>0.60489999999999999</v>
      </c>
      <c r="M37" s="20">
        <f>0.0095/2</f>
        <v>4.7499999999999999E-3</v>
      </c>
    </row>
    <row r="38" spans="1:13" x14ac:dyDescent="0.3">
      <c r="A38" s="13" t="s">
        <v>93</v>
      </c>
      <c r="B38" s="1" t="s">
        <v>60</v>
      </c>
      <c r="C38" s="1">
        <v>2</v>
      </c>
      <c r="D38" s="3">
        <v>2.58</v>
      </c>
      <c r="E38" s="11">
        <v>0.01</v>
      </c>
      <c r="F38" s="3">
        <v>0.26</v>
      </c>
      <c r="G38" s="11">
        <v>0.02</v>
      </c>
      <c r="L38" s="20">
        <v>0.60860000000000003</v>
      </c>
      <c r="M38" s="20">
        <f>0.0131/2</f>
        <v>6.5500000000000003E-3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workbookViewId="0">
      <pane xSplit="4" ySplit="1" topLeftCell="E12" activePane="bottomRight" state="frozen"/>
      <selection pane="topRight" activeCell="E1" sqref="E1"/>
      <selection pane="bottomLeft" activeCell="A2" sqref="A2"/>
      <selection pane="bottomRight" activeCell="A23" sqref="A23:A38"/>
    </sheetView>
  </sheetViews>
  <sheetFormatPr baseColWidth="10" defaultRowHeight="14.4" x14ac:dyDescent="0.3"/>
  <cols>
    <col min="1" max="12" width="11.5546875" style="22"/>
    <col min="13" max="13" width="16.33203125" style="22" bestFit="1" customWidth="1"/>
    <col min="14" max="14" width="9.109375" style="22" customWidth="1"/>
    <col min="15" max="17" width="11.5546875" style="22"/>
    <col min="18" max="18" width="17.33203125" style="22" bestFit="1" customWidth="1"/>
    <col min="19" max="19" width="11.5546875" style="25"/>
    <col min="20" max="22" width="11.5546875" style="22"/>
    <col min="23" max="23" width="17.33203125" style="22" bestFit="1" customWidth="1"/>
    <col min="24" max="24" width="16.6640625" style="22" bestFit="1" customWidth="1"/>
    <col min="25" max="16384" width="11.5546875" style="22"/>
  </cols>
  <sheetData>
    <row r="1" spans="1:29" x14ac:dyDescent="0.3">
      <c r="A1" s="22" t="s">
        <v>0</v>
      </c>
      <c r="B1" s="1" t="s">
        <v>4</v>
      </c>
      <c r="C1" s="1" t="s">
        <v>2</v>
      </c>
      <c r="D1" s="1" t="s">
        <v>3</v>
      </c>
      <c r="E1" s="1" t="s">
        <v>6</v>
      </c>
      <c r="F1" s="1" t="s">
        <v>113</v>
      </c>
      <c r="G1" s="1"/>
      <c r="H1" s="1" t="s">
        <v>130</v>
      </c>
      <c r="I1" s="1" t="s">
        <v>108</v>
      </c>
      <c r="K1" s="22" t="s">
        <v>102</v>
      </c>
      <c r="L1" s="22" t="s">
        <v>106</v>
      </c>
      <c r="M1" s="22" t="s">
        <v>103</v>
      </c>
      <c r="N1" s="22" t="s">
        <v>107</v>
      </c>
      <c r="P1" s="22" t="s">
        <v>105</v>
      </c>
      <c r="Q1" s="22" t="s">
        <v>106</v>
      </c>
      <c r="R1" s="22" t="s">
        <v>104</v>
      </c>
      <c r="S1" s="25" t="s">
        <v>107</v>
      </c>
      <c r="U1" s="22" t="s">
        <v>111</v>
      </c>
      <c r="V1" s="22" t="s">
        <v>106</v>
      </c>
      <c r="W1" s="22" t="s">
        <v>112</v>
      </c>
      <c r="X1" s="22" t="s">
        <v>128</v>
      </c>
      <c r="Z1" s="22" t="s">
        <v>109</v>
      </c>
      <c r="AA1" s="22" t="s">
        <v>106</v>
      </c>
      <c r="AB1" s="22" t="s">
        <v>110</v>
      </c>
      <c r="AC1" s="22" t="s">
        <v>107</v>
      </c>
    </row>
    <row r="2" spans="1:29" x14ac:dyDescent="0.3">
      <c r="A2" s="1">
        <v>130</v>
      </c>
      <c r="B2" s="1" t="s">
        <v>32</v>
      </c>
      <c r="C2" s="1" t="s">
        <v>44</v>
      </c>
      <c r="D2" s="1" t="s">
        <v>45</v>
      </c>
      <c r="E2" s="10">
        <v>11.36</v>
      </c>
      <c r="F2" s="10">
        <f>(('Env. and bio. parameters'!H2-'Env. and bio. parameters'!G2)+('Env. and bio. parameters'!G2-'Env. and bio. parameters'!I2))/2</f>
        <v>1.71</v>
      </c>
      <c r="G2" s="10"/>
      <c r="H2" s="23">
        <v>0.68394643529684784</v>
      </c>
      <c r="I2" s="23">
        <v>7.7892088448315569E-3</v>
      </c>
      <c r="K2" s="24">
        <f>SQRT((39100)/(H2-0.154))-273.15</f>
        <v>-1.5233414742339733</v>
      </c>
      <c r="L2" s="24">
        <f>2*I2*((39100/((H2-0.154)^2))/(2*(K2+273.15)))</f>
        <v>3.9923974012501908</v>
      </c>
      <c r="M2" s="29">
        <f t="shared" ref="M2:M38" si="0">K2-$E2</f>
        <v>-12.883341474233973</v>
      </c>
      <c r="N2" s="29">
        <f>L2+F2</f>
        <v>5.7023974012501908</v>
      </c>
      <c r="O2" s="25"/>
      <c r="P2" s="24">
        <f>SQRT((39700)/(H2-0.1518))-273.15</f>
        <v>-1.3541049587331599E-2</v>
      </c>
      <c r="Q2" s="24">
        <f>2*I2*((39700/((H2-0.1518)^2))/(2*(P2+273.15)))</f>
        <v>3.9979914940437968</v>
      </c>
      <c r="R2" s="29">
        <f t="shared" ref="R2:R38" si="1">P2-$E2</f>
        <v>-11.373541049587331</v>
      </c>
      <c r="S2" s="29">
        <f>F2+Q2</f>
        <v>5.7079914940437968</v>
      </c>
      <c r="T2" s="25"/>
      <c r="U2" s="24">
        <f>SQRT((37000)/(H2-0.181))-273.15</f>
        <v>-1.9185817606567639</v>
      </c>
      <c r="V2" s="24">
        <f>2*I2*((37000/((H2-0.181)^2))/(2*(U2+273.15)))</f>
        <v>4.2006027156732104</v>
      </c>
      <c r="W2" s="29">
        <f t="shared" ref="W2:W38" si="2">U2-$E2</f>
        <v>-13.278581760656763</v>
      </c>
      <c r="X2" s="25">
        <f>V2+F2</f>
        <v>5.9106027156732104</v>
      </c>
      <c r="Y2" s="25"/>
      <c r="Z2" s="24">
        <f>SQRT((38010)/(H2-0.171))-273.15</f>
        <v>-0.93445211292447539</v>
      </c>
      <c r="AA2" s="24">
        <f>2*I2*((38010/((H2-0.171)^2))/(2*(Z2+273.15)))</f>
        <v>4.1336553047212634</v>
      </c>
      <c r="AB2" s="29">
        <f t="shared" ref="AB2:AB38" si="3">Z2-$E2</f>
        <v>-12.294452112924475</v>
      </c>
      <c r="AC2" s="29">
        <f>AA2+F2</f>
        <v>5.8436553047212634</v>
      </c>
    </row>
    <row r="3" spans="1:29" x14ac:dyDescent="0.3">
      <c r="A3" s="1">
        <v>143</v>
      </c>
      <c r="B3" s="1" t="s">
        <v>32</v>
      </c>
      <c r="C3" s="1" t="s">
        <v>44</v>
      </c>
      <c r="D3" s="1" t="s">
        <v>45</v>
      </c>
      <c r="E3" s="10">
        <v>11.36</v>
      </c>
      <c r="F3" s="10">
        <f>(('Env. and bio. parameters'!H3-'Env. and bio. parameters'!G3)+('Env. and bio. parameters'!G3-'Env. and bio. parameters'!I3))/2</f>
        <v>1.71</v>
      </c>
      <c r="G3" s="10"/>
      <c r="H3" s="23">
        <v>0.67023658929799479</v>
      </c>
      <c r="I3" s="23">
        <v>3.9679647343844717E-3</v>
      </c>
      <c r="K3" s="24">
        <f t="shared" ref="K3:K38" si="4">SQRT((39100)/(H3-0.154))-273.15</f>
        <v>2.0598586725299128</v>
      </c>
      <c r="L3" s="24">
        <f t="shared" ref="L3:L38" si="5">2*I3*((39100/((H3-0.154)^2))/(2*(K3+273.15)))</f>
        <v>2.1153537668698035</v>
      </c>
      <c r="M3" s="29">
        <f t="shared" si="0"/>
        <v>-9.3001413274700866</v>
      </c>
      <c r="N3" s="29">
        <f t="shared" ref="N3:N38" si="6">L3+F3</f>
        <v>3.8253537668698034</v>
      </c>
      <c r="O3" s="25"/>
      <c r="P3" s="24">
        <f t="shared" ref="P3:P38" si="7">SQRT((39700)/(H3-0.1518))-273.15</f>
        <v>3.5743850290655814</v>
      </c>
      <c r="Q3" s="24">
        <f t="shared" ref="Q3:Q38" si="8">2*I3*((39700/((H3-0.1518)^2))/(2*(P3+273.15)))</f>
        <v>2.1179689543640965</v>
      </c>
      <c r="R3" s="29">
        <f t="shared" si="1"/>
        <v>-7.785614970934418</v>
      </c>
      <c r="S3" s="29">
        <f t="shared" ref="S3:S38" si="9">F3+Q3</f>
        <v>3.8279689543640965</v>
      </c>
      <c r="T3" s="25"/>
      <c r="U3" s="24">
        <f t="shared" ref="U3:U38" si="10">SQRT((37000)/(H3-0.181))-273.15</f>
        <v>1.855511070299201</v>
      </c>
      <c r="V3" s="24">
        <f t="shared" ref="V3:V38" si="11">2*I3*((37000/((H3-0.181)^2))/(2*(U3+273.15)))</f>
        <v>2.230438592612431</v>
      </c>
      <c r="W3" s="29">
        <f t="shared" si="2"/>
        <v>-9.5044889297007984</v>
      </c>
      <c r="X3" s="25">
        <f t="shared" ref="X3:X38" si="12">V3+F3</f>
        <v>3.940438592612431</v>
      </c>
      <c r="Y3" s="25"/>
      <c r="Z3" s="24">
        <f t="shared" ref="Z3:Z38" si="13">SQRT((38010)/(H3-0.171))-273.15</f>
        <v>2.7779733022767914</v>
      </c>
      <c r="AA3" s="24">
        <f t="shared" ref="AA3:AA38" si="14">2*I3*((38010/((H3-0.171)^2))/(2*(Z3+273.15)))</f>
        <v>2.193093396526038</v>
      </c>
      <c r="AB3" s="29">
        <f t="shared" si="3"/>
        <v>-8.582026697723208</v>
      </c>
      <c r="AC3" s="29">
        <f t="shared" ref="AC3:AC38" si="15">AA3+F3</f>
        <v>3.9030933965260379</v>
      </c>
    </row>
    <row r="4" spans="1:29" x14ac:dyDescent="0.3">
      <c r="A4" s="1" t="s">
        <v>19</v>
      </c>
      <c r="B4" s="1" t="s">
        <v>32</v>
      </c>
      <c r="C4" s="1" t="s">
        <v>46</v>
      </c>
      <c r="E4" s="3">
        <v>1.56</v>
      </c>
      <c r="F4" s="10">
        <f>(('Env. and bio. parameters'!H4-'Env. and bio. parameters'!G4)+('Env. and bio. parameters'!G4-'Env. and bio. parameters'!I4))/2</f>
        <v>2.125</v>
      </c>
      <c r="G4" s="3"/>
      <c r="H4" s="23">
        <v>0.68621599423012514</v>
      </c>
      <c r="I4" s="23">
        <v>3.9343105778033485E-3</v>
      </c>
      <c r="K4" s="24">
        <f t="shared" si="4"/>
        <v>-2.1031167309138254</v>
      </c>
      <c r="L4" s="24">
        <f t="shared" si="5"/>
        <v>2.0036651124488785</v>
      </c>
      <c r="M4" s="25">
        <f t="shared" si="0"/>
        <v>-3.6631167309138255</v>
      </c>
      <c r="N4" s="25">
        <f t="shared" si="6"/>
        <v>4.1286651124488785</v>
      </c>
      <c r="O4" s="25"/>
      <c r="P4" s="24">
        <f t="shared" si="7"/>
        <v>-0.59413635898886241</v>
      </c>
      <c r="Q4" s="24">
        <f t="shared" si="8"/>
        <v>2.0065256821325685</v>
      </c>
      <c r="R4" s="25">
        <f t="shared" si="1"/>
        <v>-2.1541363589888625</v>
      </c>
      <c r="S4" s="25">
        <f t="shared" si="9"/>
        <v>4.131525682132569</v>
      </c>
      <c r="T4" s="25"/>
      <c r="U4" s="24">
        <f t="shared" si="10"/>
        <v>-2.5284878039890941</v>
      </c>
      <c r="V4" s="24">
        <f t="shared" si="11"/>
        <v>2.1074334347556904</v>
      </c>
      <c r="W4" s="25">
        <f t="shared" si="2"/>
        <v>-4.0884878039890946</v>
      </c>
      <c r="X4" s="25">
        <f t="shared" si="12"/>
        <v>4.2324334347556904</v>
      </c>
      <c r="Y4" s="25"/>
      <c r="Z4" s="24">
        <f t="shared" si="13"/>
        <v>-1.5346771741021712</v>
      </c>
      <c r="AA4" s="24">
        <f t="shared" si="14"/>
        <v>2.0741185243758062</v>
      </c>
      <c r="AB4" s="25">
        <f t="shared" si="3"/>
        <v>-3.0946771741021712</v>
      </c>
      <c r="AC4" s="25">
        <f t="shared" si="15"/>
        <v>4.1991185243758062</v>
      </c>
    </row>
    <row r="5" spans="1:29" x14ac:dyDescent="0.3">
      <c r="A5" s="1" t="s">
        <v>20</v>
      </c>
      <c r="B5" s="1" t="s">
        <v>32</v>
      </c>
      <c r="C5" s="1" t="s">
        <v>44</v>
      </c>
      <c r="D5" s="1" t="s">
        <v>45</v>
      </c>
      <c r="E5" s="3">
        <v>8.59</v>
      </c>
      <c r="F5" s="10">
        <f>(('Env. and bio. parameters'!H5-'Env. and bio. parameters'!G5)+('Env. and bio. parameters'!G5-'Env. and bio. parameters'!I5))/2</f>
        <v>0.95999999999999952</v>
      </c>
      <c r="G5" s="3"/>
      <c r="H5" s="23">
        <v>0.6764817864983711</v>
      </c>
      <c r="I5" s="23">
        <v>4.5128616710590087E-3</v>
      </c>
      <c r="K5" s="24">
        <f t="shared" si="4"/>
        <v>0.41012961832950623</v>
      </c>
      <c r="L5" s="24">
        <f t="shared" si="5"/>
        <v>2.3628364769579253</v>
      </c>
      <c r="M5" s="29">
        <f t="shared" si="0"/>
        <v>-8.1798703816704936</v>
      </c>
      <c r="N5" s="29">
        <f t="shared" si="6"/>
        <v>3.3228364769579248</v>
      </c>
      <c r="O5" s="25"/>
      <c r="P5" s="24">
        <f t="shared" si="7"/>
        <v>1.9225535316373339</v>
      </c>
      <c r="Q5" s="24">
        <f t="shared" si="8"/>
        <v>2.3659376321749015</v>
      </c>
      <c r="R5" s="29">
        <f t="shared" si="1"/>
        <v>-6.667446468362666</v>
      </c>
      <c r="S5" s="29">
        <f t="shared" si="9"/>
        <v>3.325937632174901</v>
      </c>
      <c r="T5" s="25"/>
      <c r="U5" s="24">
        <f t="shared" si="10"/>
        <v>0.11689027177953903</v>
      </c>
      <c r="V5" s="24">
        <f t="shared" si="11"/>
        <v>2.4889223149700084</v>
      </c>
      <c r="W5" s="29">
        <f t="shared" si="2"/>
        <v>-8.4731097282204608</v>
      </c>
      <c r="X5" s="25">
        <f t="shared" si="12"/>
        <v>3.4489223149700079</v>
      </c>
      <c r="Y5" s="25"/>
      <c r="Z5" s="24">
        <f t="shared" si="13"/>
        <v>1.0681388700945149</v>
      </c>
      <c r="AA5" s="24">
        <f t="shared" si="14"/>
        <v>2.4481762972877639</v>
      </c>
      <c r="AB5" s="29">
        <f t="shared" si="3"/>
        <v>-7.5218611299054849</v>
      </c>
      <c r="AC5" s="29">
        <f t="shared" si="15"/>
        <v>3.4081762972877634</v>
      </c>
    </row>
    <row r="6" spans="1:29" x14ac:dyDescent="0.3">
      <c r="A6" s="1" t="s">
        <v>21</v>
      </c>
      <c r="B6" s="1" t="s">
        <v>32</v>
      </c>
      <c r="C6" s="1" t="s">
        <v>44</v>
      </c>
      <c r="D6" s="1" t="s">
        <v>45</v>
      </c>
      <c r="E6" s="3">
        <v>8.39</v>
      </c>
      <c r="F6" s="10">
        <f>(('Env. and bio. parameters'!H6-'Env. and bio. parameters'!G6)+('Env. and bio. parameters'!G6-'Env. and bio. parameters'!I6))/2</f>
        <v>0.5349999999999997</v>
      </c>
      <c r="G6" s="3"/>
      <c r="H6" s="23">
        <v>0.66846434146233658</v>
      </c>
      <c r="I6" s="23">
        <v>7.0885596702496634E-3</v>
      </c>
      <c r="K6" s="24">
        <f t="shared" si="4"/>
        <v>2.533478233988717</v>
      </c>
      <c r="L6" s="24">
        <f t="shared" si="5"/>
        <v>3.7985116325242299</v>
      </c>
      <c r="M6" s="29">
        <f t="shared" si="0"/>
        <v>-5.8565217660112836</v>
      </c>
      <c r="N6" s="29">
        <f t="shared" si="6"/>
        <v>4.33351163252423</v>
      </c>
      <c r="O6" s="25"/>
      <c r="P6" s="24">
        <f t="shared" si="7"/>
        <v>4.0485849234392504</v>
      </c>
      <c r="Q6" s="24">
        <f t="shared" si="8"/>
        <v>3.8031242957025433</v>
      </c>
      <c r="R6" s="25">
        <f t="shared" si="1"/>
        <v>-4.3414150765607502</v>
      </c>
      <c r="S6" s="25">
        <f t="shared" si="9"/>
        <v>4.338124295702543</v>
      </c>
      <c r="T6" s="25"/>
      <c r="U6" s="24">
        <f t="shared" si="10"/>
        <v>2.3549688771583419</v>
      </c>
      <c r="V6" s="24">
        <f t="shared" si="11"/>
        <v>4.0063102984670413</v>
      </c>
      <c r="W6" s="29">
        <f t="shared" si="2"/>
        <v>-6.0350311228416587</v>
      </c>
      <c r="X6" s="25">
        <f t="shared" si="12"/>
        <v>4.5413102984670406</v>
      </c>
      <c r="Y6" s="25"/>
      <c r="Z6" s="24">
        <f t="shared" si="13"/>
        <v>3.2690416585550111</v>
      </c>
      <c r="AA6" s="24">
        <f t="shared" si="14"/>
        <v>3.9388006485651665</v>
      </c>
      <c r="AB6" s="29">
        <f t="shared" si="3"/>
        <v>-5.1209583414449895</v>
      </c>
      <c r="AC6" s="29">
        <f t="shared" si="15"/>
        <v>4.4738006485651667</v>
      </c>
    </row>
    <row r="7" spans="1:29" x14ac:dyDescent="0.3">
      <c r="A7" s="1" t="s">
        <v>22</v>
      </c>
      <c r="B7" s="1" t="s">
        <v>32</v>
      </c>
      <c r="C7" s="1" t="s">
        <v>48</v>
      </c>
      <c r="D7" s="1"/>
      <c r="E7" s="3">
        <v>20.92</v>
      </c>
      <c r="F7" s="10">
        <f>(('Env. and bio. parameters'!H7-'Env. and bio. parameters'!G7)+('Env. and bio. parameters'!G7-'Env. and bio. parameters'!I7))/2</f>
        <v>2.1149999999999984</v>
      </c>
      <c r="G7" s="3"/>
      <c r="H7" s="23">
        <v>0.61656827053265728</v>
      </c>
      <c r="I7" s="23">
        <v>5.7736716974069657E-3</v>
      </c>
      <c r="K7" s="24">
        <f t="shared" si="4"/>
        <v>17.587103217403239</v>
      </c>
      <c r="L7" s="24">
        <f t="shared" si="5"/>
        <v>3.6289142407010342</v>
      </c>
      <c r="M7" s="25">
        <f t="shared" si="0"/>
        <v>-3.3328967825967624</v>
      </c>
      <c r="N7" s="25">
        <f t="shared" si="6"/>
        <v>5.7439142407010326</v>
      </c>
      <c r="O7" s="25"/>
      <c r="P7" s="24">
        <f t="shared" si="7"/>
        <v>19.115139894929428</v>
      </c>
      <c r="Q7" s="24">
        <f t="shared" si="8"/>
        <v>3.6307189482107138</v>
      </c>
      <c r="R7" s="25">
        <f t="shared" si="1"/>
        <v>-1.8048601050705741</v>
      </c>
      <c r="S7" s="25">
        <f t="shared" si="9"/>
        <v>5.7457189482107118</v>
      </c>
      <c r="T7" s="25"/>
      <c r="U7" s="24">
        <f t="shared" si="10"/>
        <v>18.305828191751118</v>
      </c>
      <c r="V7" s="24">
        <f t="shared" si="11"/>
        <v>3.8633903801513316</v>
      </c>
      <c r="W7" s="25">
        <f t="shared" si="2"/>
        <v>-2.6141718082488836</v>
      </c>
      <c r="X7" s="25">
        <f t="shared" si="12"/>
        <v>5.9783903801513301</v>
      </c>
      <c r="Y7" s="25"/>
      <c r="Z7" s="24">
        <f t="shared" si="13"/>
        <v>18.923265641412343</v>
      </c>
      <c r="AA7" s="24">
        <f t="shared" si="14"/>
        <v>3.7846840965293804</v>
      </c>
      <c r="AB7" s="25">
        <f t="shared" si="3"/>
        <v>-1.9967343585876591</v>
      </c>
      <c r="AC7" s="25">
        <f t="shared" si="15"/>
        <v>5.8996840965293789</v>
      </c>
    </row>
    <row r="8" spans="1:29" x14ac:dyDescent="0.3">
      <c r="A8" s="1" t="s">
        <v>23</v>
      </c>
      <c r="B8" s="1" t="s">
        <v>32</v>
      </c>
      <c r="C8" s="1" t="s">
        <v>48</v>
      </c>
      <c r="D8" s="1"/>
      <c r="E8" s="3">
        <v>28.914000000000001</v>
      </c>
      <c r="F8" s="10">
        <f>(('Env. and bio. parameters'!H8-'Env. and bio. parameters'!G8)+('Env. and bio. parameters'!G8-'Env. and bio. parameters'!I8))/2</f>
        <v>0.75999999999999979</v>
      </c>
      <c r="G8" s="3"/>
      <c r="H8" s="23">
        <v>0.58281162201536341</v>
      </c>
      <c r="I8" s="23">
        <v>7.0948517282846991E-3</v>
      </c>
      <c r="K8" s="24">
        <f t="shared" si="4"/>
        <v>28.81395501386146</v>
      </c>
      <c r="L8" s="24">
        <f t="shared" si="5"/>
        <v>4.9961087296113913</v>
      </c>
      <c r="M8" s="25">
        <f t="shared" si="0"/>
        <v>-0.10004498613854196</v>
      </c>
      <c r="N8" s="25">
        <f t="shared" si="6"/>
        <v>5.7561087296113911</v>
      </c>
      <c r="O8" s="25"/>
      <c r="P8" s="24">
        <f t="shared" si="7"/>
        <v>30.344456575363949</v>
      </c>
      <c r="Q8" s="24">
        <f t="shared" si="8"/>
        <v>4.9958007157444904</v>
      </c>
      <c r="R8" s="25">
        <f t="shared" si="1"/>
        <v>1.430456575363948</v>
      </c>
      <c r="S8" s="25">
        <f t="shared" si="9"/>
        <v>5.7558007157444901</v>
      </c>
      <c r="T8" s="25"/>
      <c r="U8" s="24">
        <f t="shared" si="10"/>
        <v>30.301728032168398</v>
      </c>
      <c r="V8" s="24">
        <f t="shared" si="11"/>
        <v>5.3580954335802913</v>
      </c>
      <c r="W8" s="25">
        <f t="shared" si="2"/>
        <v>1.3877280321683969</v>
      </c>
      <c r="X8" s="25">
        <f t="shared" si="12"/>
        <v>6.1180954335802911</v>
      </c>
      <c r="Y8" s="25"/>
      <c r="Z8" s="24">
        <f t="shared" si="13"/>
        <v>30.658300532627322</v>
      </c>
      <c r="AA8" s="24">
        <f t="shared" si="14"/>
        <v>5.2341282539634948</v>
      </c>
      <c r="AB8" s="25">
        <f t="shared" si="3"/>
        <v>1.7443005326273209</v>
      </c>
      <c r="AC8" s="25">
        <f t="shared" si="15"/>
        <v>5.9941282539634946</v>
      </c>
    </row>
    <row r="9" spans="1:29" x14ac:dyDescent="0.3">
      <c r="A9" s="1" t="s">
        <v>24</v>
      </c>
      <c r="B9" s="1" t="s">
        <v>32</v>
      </c>
      <c r="C9" s="1" t="s">
        <v>44</v>
      </c>
      <c r="D9" s="1" t="s">
        <v>45</v>
      </c>
      <c r="E9" s="3">
        <v>24.84</v>
      </c>
      <c r="F9" s="10">
        <f>(('Env. and bio. parameters'!H9-'Env. and bio. parameters'!G9)+('Env. and bio. parameters'!G9-'Env. and bio. parameters'!I9))/2</f>
        <v>3.1800000000000015</v>
      </c>
      <c r="G9" s="3"/>
      <c r="H9" s="23">
        <v>0.61967884319418809</v>
      </c>
      <c r="I9" s="23">
        <v>1.0126631493655417E-2</v>
      </c>
      <c r="K9" s="24">
        <f t="shared" si="4"/>
        <v>16.614464924034451</v>
      </c>
      <c r="L9" s="24">
        <f t="shared" si="5"/>
        <v>6.3012052171292634</v>
      </c>
      <c r="M9" s="25">
        <f t="shared" si="0"/>
        <v>-8.2255350759655492</v>
      </c>
      <c r="N9" s="25">
        <f t="shared" si="6"/>
        <v>9.4812052171292649</v>
      </c>
      <c r="O9" s="25"/>
      <c r="P9" s="24">
        <f t="shared" si="7"/>
        <v>18.14199480562354</v>
      </c>
      <c r="Q9" s="24">
        <f t="shared" si="8"/>
        <v>6.3046379022187411</v>
      </c>
      <c r="R9" s="25">
        <f t="shared" si="1"/>
        <v>-6.69800519437646</v>
      </c>
      <c r="S9" s="25">
        <f t="shared" si="9"/>
        <v>9.4846379022187435</v>
      </c>
      <c r="T9" s="25"/>
      <c r="U9" s="24">
        <f t="shared" si="10"/>
        <v>17.270666155987783</v>
      </c>
      <c r="V9" s="24">
        <f t="shared" si="11"/>
        <v>6.7041825926438374</v>
      </c>
      <c r="W9" s="25">
        <f t="shared" si="2"/>
        <v>-7.5693338440122169</v>
      </c>
      <c r="X9" s="25">
        <f t="shared" si="12"/>
        <v>9.8841825926438389</v>
      </c>
      <c r="Y9" s="25"/>
      <c r="Z9" s="24">
        <f t="shared" si="13"/>
        <v>17.909071150988723</v>
      </c>
      <c r="AA9" s="24">
        <f t="shared" si="14"/>
        <v>6.569170802546715</v>
      </c>
      <c r="AB9" s="25">
        <f t="shared" si="3"/>
        <v>-6.930928849011277</v>
      </c>
      <c r="AC9" s="25">
        <f t="shared" si="15"/>
        <v>9.7491708025467165</v>
      </c>
    </row>
    <row r="10" spans="1:29" x14ac:dyDescent="0.3">
      <c r="A10" s="1" t="s">
        <v>25</v>
      </c>
      <c r="B10" s="1" t="s">
        <v>32</v>
      </c>
      <c r="C10" s="1" t="s">
        <v>44</v>
      </c>
      <c r="D10" s="1" t="s">
        <v>45</v>
      </c>
      <c r="E10" s="3">
        <v>24.84</v>
      </c>
      <c r="F10" s="10">
        <f>(('Env. and bio. parameters'!H10-'Env. and bio. parameters'!G10)+('Env. and bio. parameters'!G10-'Env. and bio. parameters'!I10))/2</f>
        <v>3.1800000000000015</v>
      </c>
      <c r="G10" s="3"/>
      <c r="H10" s="23">
        <v>0.60285387152293635</v>
      </c>
      <c r="I10" s="23">
        <v>7.1502059679153154E-3</v>
      </c>
      <c r="K10" s="24">
        <f t="shared" si="4"/>
        <v>21.995313053685265</v>
      </c>
      <c r="L10" s="24">
        <f t="shared" si="5"/>
        <v>4.7016410299378615</v>
      </c>
      <c r="M10" s="25">
        <f t="shared" si="0"/>
        <v>-2.8446869463147344</v>
      </c>
      <c r="N10" s="25">
        <f t="shared" si="6"/>
        <v>7.881641029937863</v>
      </c>
      <c r="O10" s="25"/>
      <c r="P10" s="24">
        <f t="shared" si="7"/>
        <v>23.5250648431836</v>
      </c>
      <c r="Q10" s="24">
        <f t="shared" si="8"/>
        <v>4.7029588993684666</v>
      </c>
      <c r="R10" s="25">
        <f t="shared" si="1"/>
        <v>-1.3149351568164001</v>
      </c>
      <c r="S10" s="25">
        <f t="shared" si="9"/>
        <v>7.8829588993684681</v>
      </c>
      <c r="T10" s="25"/>
      <c r="U10" s="24">
        <f t="shared" si="10"/>
        <v>23.005527262788121</v>
      </c>
      <c r="V10" s="24">
        <f t="shared" si="11"/>
        <v>5.0196837374535299</v>
      </c>
      <c r="W10" s="25">
        <f t="shared" si="2"/>
        <v>-1.834472737211879</v>
      </c>
      <c r="X10" s="25">
        <f t="shared" si="12"/>
        <v>8.1996837374535314</v>
      </c>
      <c r="Y10" s="25"/>
      <c r="Z10" s="24">
        <f t="shared" si="13"/>
        <v>23.524709734127555</v>
      </c>
      <c r="AA10" s="24">
        <f t="shared" si="14"/>
        <v>4.9120441425933539</v>
      </c>
      <c r="AB10" s="25">
        <f t="shared" si="3"/>
        <v>-1.315290265872445</v>
      </c>
      <c r="AC10" s="25">
        <f t="shared" si="15"/>
        <v>8.0920441425933554</v>
      </c>
    </row>
    <row r="11" spans="1:29" x14ac:dyDescent="0.3">
      <c r="A11" s="1" t="s">
        <v>26</v>
      </c>
      <c r="B11" s="1" t="s">
        <v>32</v>
      </c>
      <c r="C11" s="1" t="s">
        <v>44</v>
      </c>
      <c r="D11" s="1" t="s">
        <v>45</v>
      </c>
      <c r="E11" s="3">
        <v>13.27</v>
      </c>
      <c r="F11" s="10">
        <f>(('Env. and bio. parameters'!H11-'Env. and bio. parameters'!G11)+('Env. and bio. parameters'!G11-'Env. and bio. parameters'!I11))/2</f>
        <v>1.88</v>
      </c>
      <c r="G11" s="3"/>
      <c r="H11" s="23">
        <v>0.65087640157148796</v>
      </c>
      <c r="I11" s="23">
        <v>1.2921419505322714E-2</v>
      </c>
      <c r="K11" s="24">
        <f t="shared" si="4"/>
        <v>7.3702344363777001</v>
      </c>
      <c r="L11" s="24">
        <f t="shared" si="5"/>
        <v>7.2950126377905793</v>
      </c>
      <c r="M11" s="25">
        <f t="shared" si="0"/>
        <v>-5.8997655636222994</v>
      </c>
      <c r="N11" s="25">
        <f t="shared" si="6"/>
        <v>9.1750126377905801</v>
      </c>
      <c r="O11" s="25"/>
      <c r="P11" s="24">
        <f t="shared" si="7"/>
        <v>8.8906687969656559</v>
      </c>
      <c r="Q11" s="24">
        <f t="shared" si="8"/>
        <v>7.3022202364448079</v>
      </c>
      <c r="R11" s="25">
        <f t="shared" si="1"/>
        <v>-4.3793312030343436</v>
      </c>
      <c r="S11" s="25">
        <f t="shared" si="9"/>
        <v>9.1822202364448078</v>
      </c>
      <c r="T11" s="25"/>
      <c r="U11" s="24">
        <f t="shared" si="10"/>
        <v>7.4638129495501744</v>
      </c>
      <c r="V11" s="24">
        <f t="shared" si="11"/>
        <v>7.7167714402819207</v>
      </c>
      <c r="W11" s="25">
        <f t="shared" si="2"/>
        <v>-5.8061870504498252</v>
      </c>
      <c r="X11" s="25">
        <f t="shared" si="12"/>
        <v>9.5967714402819198</v>
      </c>
      <c r="Y11" s="25"/>
      <c r="Z11" s="24">
        <f t="shared" si="13"/>
        <v>8.2889734451155164</v>
      </c>
      <c r="AA11" s="24">
        <f t="shared" si="14"/>
        <v>7.5781826927156528</v>
      </c>
      <c r="AB11" s="25">
        <f t="shared" si="3"/>
        <v>-4.9810265548844832</v>
      </c>
      <c r="AC11" s="25">
        <f t="shared" si="15"/>
        <v>9.4581826927156527</v>
      </c>
    </row>
    <row r="12" spans="1:29" x14ac:dyDescent="0.3">
      <c r="A12" s="1" t="s">
        <v>27</v>
      </c>
      <c r="B12" s="1" t="s">
        <v>32</v>
      </c>
      <c r="C12" s="1" t="s">
        <v>44</v>
      </c>
      <c r="D12" s="1" t="s">
        <v>45</v>
      </c>
      <c r="E12" s="3">
        <v>13.27</v>
      </c>
      <c r="F12" s="10">
        <f>(('Env. and bio. parameters'!H12-'Env. and bio. parameters'!G12)+('Env. and bio. parameters'!G12-'Env. and bio. parameters'!I12))/2</f>
        <v>1.88</v>
      </c>
      <c r="G12" s="3"/>
      <c r="H12" s="23">
        <v>0.65886406916948925</v>
      </c>
      <c r="I12" s="23">
        <v>4.0718544312844454E-3</v>
      </c>
      <c r="K12" s="24">
        <f t="shared" si="4"/>
        <v>5.1422723856963444</v>
      </c>
      <c r="L12" s="24">
        <f t="shared" si="5"/>
        <v>2.2444964728228611</v>
      </c>
      <c r="M12" s="29">
        <f t="shared" si="0"/>
        <v>-8.1277276143036552</v>
      </c>
      <c r="N12" s="29">
        <f t="shared" si="6"/>
        <v>4.1244964728228606</v>
      </c>
      <c r="O12" s="25"/>
      <c r="P12" s="24">
        <f t="shared" si="7"/>
        <v>6.6603886655647102</v>
      </c>
      <c r="Q12" s="24">
        <f t="shared" si="8"/>
        <v>2.2469491338114689</v>
      </c>
      <c r="R12" s="29">
        <f t="shared" si="1"/>
        <v>-6.6096113344352894</v>
      </c>
      <c r="S12" s="29">
        <f t="shared" si="9"/>
        <v>4.1269491338114683</v>
      </c>
      <c r="T12" s="25"/>
      <c r="U12" s="24">
        <f t="shared" si="10"/>
        <v>5.1086498654392472</v>
      </c>
      <c r="V12" s="24">
        <f t="shared" si="11"/>
        <v>2.3710272221700608</v>
      </c>
      <c r="W12" s="29">
        <f t="shared" si="2"/>
        <v>-8.1613501345607524</v>
      </c>
      <c r="X12" s="29">
        <f t="shared" si="12"/>
        <v>4.2510272221700607</v>
      </c>
      <c r="Y12" s="25"/>
      <c r="Z12" s="24">
        <f t="shared" si="13"/>
        <v>5.9755024780442909</v>
      </c>
      <c r="AA12" s="24">
        <f t="shared" si="14"/>
        <v>2.3296620636246725</v>
      </c>
      <c r="AB12" s="29">
        <f t="shared" si="3"/>
        <v>-7.2944975219557087</v>
      </c>
      <c r="AC12" s="29">
        <f t="shared" si="15"/>
        <v>4.2096620636246724</v>
      </c>
    </row>
    <row r="13" spans="1:29" x14ac:dyDescent="0.3">
      <c r="A13" s="1" t="s">
        <v>28</v>
      </c>
      <c r="B13" s="1" t="s">
        <v>32</v>
      </c>
      <c r="C13" s="1" t="s">
        <v>44</v>
      </c>
      <c r="D13" s="1" t="s">
        <v>47</v>
      </c>
      <c r="E13" s="3">
        <v>13.27</v>
      </c>
      <c r="F13" s="10">
        <f>(('Env. and bio. parameters'!H13-'Env. and bio. parameters'!G13)+('Env. and bio. parameters'!G13-'Env. and bio. parameters'!I13))/2</f>
        <v>1.88</v>
      </c>
      <c r="G13" s="3"/>
      <c r="H13" s="23">
        <v>0.63986283745482986</v>
      </c>
      <c r="I13" s="23">
        <v>7.1306014361114658E-3</v>
      </c>
      <c r="K13" s="24">
        <f t="shared" si="4"/>
        <v>10.531841613442111</v>
      </c>
      <c r="L13" s="24">
        <f t="shared" si="5"/>
        <v>4.1633605027378024</v>
      </c>
      <c r="M13" s="25">
        <f t="shared" si="0"/>
        <v>-2.7381583865578882</v>
      </c>
      <c r="N13" s="25">
        <f t="shared" si="6"/>
        <v>6.0433605027378023</v>
      </c>
      <c r="O13" s="25"/>
      <c r="P13" s="24">
        <f t="shared" si="7"/>
        <v>12.055162984862136</v>
      </c>
      <c r="Q13" s="24">
        <f t="shared" si="8"/>
        <v>4.1668494068747446</v>
      </c>
      <c r="R13" s="25">
        <f t="shared" si="1"/>
        <v>-1.2148370151378636</v>
      </c>
      <c r="S13" s="25">
        <f t="shared" si="9"/>
        <v>6.0468494068747445</v>
      </c>
      <c r="T13" s="25"/>
      <c r="U13" s="24">
        <f t="shared" si="10"/>
        <v>10.811472043700007</v>
      </c>
      <c r="V13" s="24">
        <f t="shared" si="11"/>
        <v>4.4126826473596363</v>
      </c>
      <c r="W13" s="25">
        <f t="shared" si="2"/>
        <v>-2.4585279562999922</v>
      </c>
      <c r="X13" s="25">
        <f t="shared" si="12"/>
        <v>6.2926826473596362</v>
      </c>
      <c r="Y13" s="25"/>
      <c r="Z13" s="24">
        <f t="shared" si="13"/>
        <v>11.575280230003784</v>
      </c>
      <c r="AA13" s="24">
        <f t="shared" si="14"/>
        <v>4.3301842882800443</v>
      </c>
      <c r="AB13" s="25">
        <f t="shared" si="3"/>
        <v>-1.6947197699962153</v>
      </c>
      <c r="AC13" s="25">
        <f t="shared" si="15"/>
        <v>6.2101842882800442</v>
      </c>
    </row>
    <row r="14" spans="1:29" x14ac:dyDescent="0.3">
      <c r="A14" s="1" t="s">
        <v>29</v>
      </c>
      <c r="B14" s="1" t="s">
        <v>32</v>
      </c>
      <c r="C14" s="1" t="s">
        <v>44</v>
      </c>
      <c r="D14" s="1" t="s">
        <v>47</v>
      </c>
      <c r="E14" s="3">
        <v>13.27</v>
      </c>
      <c r="F14" s="10">
        <f>(('Env. and bio. parameters'!H14-'Env. and bio. parameters'!G14)+('Env. and bio. parameters'!G14-'Env. and bio. parameters'!I14))/2</f>
        <v>1.88</v>
      </c>
      <c r="G14" s="3"/>
      <c r="H14" s="23">
        <v>0.64797615080444271</v>
      </c>
      <c r="I14" s="23">
        <v>1.0292948673745517E-2</v>
      </c>
      <c r="K14" s="24">
        <f t="shared" si="4"/>
        <v>8.1925295389991106</v>
      </c>
      <c r="L14" s="24">
        <f t="shared" si="5"/>
        <v>5.8623158457564255</v>
      </c>
      <c r="M14" s="25">
        <f t="shared" si="0"/>
        <v>-5.0774704610008889</v>
      </c>
      <c r="N14" s="25">
        <f t="shared" si="6"/>
        <v>7.7423158457564254</v>
      </c>
      <c r="O14" s="25"/>
      <c r="P14" s="24">
        <f t="shared" si="7"/>
        <v>9.7137603722209178</v>
      </c>
      <c r="Q14" s="24">
        <f t="shared" si="8"/>
        <v>5.8678801116368593</v>
      </c>
      <c r="R14" s="25">
        <f t="shared" si="1"/>
        <v>-3.5562396277790818</v>
      </c>
      <c r="S14" s="25">
        <f t="shared" si="9"/>
        <v>7.7478801116368592</v>
      </c>
      <c r="T14" s="25"/>
      <c r="U14" s="24">
        <f t="shared" si="10"/>
        <v>8.3338688267872953</v>
      </c>
      <c r="V14" s="24">
        <f t="shared" si="11"/>
        <v>6.2043832631074762</v>
      </c>
      <c r="W14" s="25">
        <f t="shared" si="2"/>
        <v>-4.9361311732127042</v>
      </c>
      <c r="X14" s="25">
        <f t="shared" si="12"/>
        <v>8.0843832631074761</v>
      </c>
      <c r="Y14" s="25"/>
      <c r="Z14" s="24">
        <f t="shared" si="13"/>
        <v>9.1433207370450873</v>
      </c>
      <c r="AA14" s="24">
        <f t="shared" si="14"/>
        <v>6.0917734699881825</v>
      </c>
      <c r="AB14" s="25">
        <f t="shared" si="3"/>
        <v>-4.1266792629549123</v>
      </c>
      <c r="AC14" s="25">
        <f t="shared" si="15"/>
        <v>7.9717734699881824</v>
      </c>
    </row>
    <row r="15" spans="1:29" x14ac:dyDescent="0.3">
      <c r="A15" s="1" t="s">
        <v>30</v>
      </c>
      <c r="B15" s="1" t="s">
        <v>32</v>
      </c>
      <c r="C15" s="1" t="s">
        <v>44</v>
      </c>
      <c r="D15" s="1" t="s">
        <v>45</v>
      </c>
      <c r="E15" s="3">
        <v>13.85</v>
      </c>
      <c r="F15" s="10">
        <f>(('Env. and bio. parameters'!H15-'Env. and bio. parameters'!G15)+('Env. and bio. parameters'!G15-'Env. and bio. parameters'!I15))/2</f>
        <v>2.1850000000000005</v>
      </c>
      <c r="G15" s="3"/>
      <c r="H15" s="23">
        <v>0.66666781992751056</v>
      </c>
      <c r="I15" s="23">
        <v>4.0852532729430445E-3</v>
      </c>
      <c r="K15" s="24">
        <f t="shared" si="4"/>
        <v>3.0160891516967467</v>
      </c>
      <c r="L15" s="24">
        <f t="shared" si="5"/>
        <v>2.2006616677098521</v>
      </c>
      <c r="M15" s="29">
        <f t="shared" si="0"/>
        <v>-10.833910848303253</v>
      </c>
      <c r="N15" s="29">
        <f t="shared" si="6"/>
        <v>4.3856616677098526</v>
      </c>
      <c r="O15" s="25"/>
      <c r="P15" s="24">
        <f t="shared" si="7"/>
        <v>4.5317764863152661</v>
      </c>
      <c r="Q15" s="24">
        <f t="shared" si="8"/>
        <v>2.2032846923450626</v>
      </c>
      <c r="R15" s="29">
        <f t="shared" si="1"/>
        <v>-9.3182235136847336</v>
      </c>
      <c r="S15" s="29">
        <f t="shared" si="9"/>
        <v>4.3882846923450636</v>
      </c>
      <c r="T15" s="25"/>
      <c r="U15" s="24">
        <f t="shared" si="10"/>
        <v>2.8640552516735625</v>
      </c>
      <c r="V15" s="24">
        <f t="shared" si="11"/>
        <v>2.3217254187511998</v>
      </c>
      <c r="W15" s="29">
        <f t="shared" si="2"/>
        <v>-10.985944748326437</v>
      </c>
      <c r="X15" s="29">
        <f t="shared" si="12"/>
        <v>4.5067254187512003</v>
      </c>
      <c r="Y15" s="25"/>
      <c r="Z15" s="24">
        <f t="shared" si="13"/>
        <v>3.7695216031330006</v>
      </c>
      <c r="AA15" s="24">
        <f t="shared" si="14"/>
        <v>2.2823478476703758</v>
      </c>
      <c r="AB15" s="29">
        <f t="shared" si="3"/>
        <v>-10.080478396866999</v>
      </c>
      <c r="AC15" s="29">
        <f t="shared" si="15"/>
        <v>4.4673478476703767</v>
      </c>
    </row>
    <row r="16" spans="1:29" x14ac:dyDescent="0.3">
      <c r="A16" s="1" t="s">
        <v>31</v>
      </c>
      <c r="B16" s="1" t="s">
        <v>32</v>
      </c>
      <c r="C16" s="1" t="s">
        <v>46</v>
      </c>
      <c r="D16" s="1"/>
      <c r="E16" s="10">
        <v>10.31</v>
      </c>
      <c r="F16" s="10">
        <f>(('Env. and bio. parameters'!H16-'Env. and bio. parameters'!G16)+('Env. and bio. parameters'!G16-'Env. and bio. parameters'!I16))/2</f>
        <v>2.1524999999999999</v>
      </c>
      <c r="G16" s="10"/>
      <c r="H16" s="23">
        <v>0.6599431033496751</v>
      </c>
      <c r="I16" s="23">
        <v>4.5206235042260989E-3</v>
      </c>
      <c r="K16" s="24">
        <f t="shared" si="4"/>
        <v>4.8453544617307784</v>
      </c>
      <c r="L16" s="24">
        <f t="shared" si="5"/>
        <v>2.4839005119846602</v>
      </c>
      <c r="M16" s="29">
        <f t="shared" si="0"/>
        <v>-5.4646455382692221</v>
      </c>
      <c r="N16" s="29">
        <f t="shared" si="6"/>
        <v>4.6364005119846601</v>
      </c>
      <c r="O16" s="25"/>
      <c r="P16" s="24">
        <f t="shared" si="7"/>
        <v>6.3631442229735171</v>
      </c>
      <c r="Q16" s="24">
        <f t="shared" si="8"/>
        <v>2.4866492946279233</v>
      </c>
      <c r="R16" s="25">
        <f t="shared" si="1"/>
        <v>-3.9468557770264834</v>
      </c>
      <c r="S16" s="25">
        <f t="shared" si="9"/>
        <v>4.6391492946279236</v>
      </c>
      <c r="T16" s="25"/>
      <c r="U16" s="24">
        <f t="shared" si="10"/>
        <v>4.7950219051532486</v>
      </c>
      <c r="V16" s="24">
        <f t="shared" si="11"/>
        <v>2.6234531620131034</v>
      </c>
      <c r="W16" s="29">
        <f t="shared" si="2"/>
        <v>-5.5149780948467519</v>
      </c>
      <c r="X16" s="29">
        <f t="shared" si="12"/>
        <v>4.7759531620131028</v>
      </c>
      <c r="Y16" s="25"/>
      <c r="Z16" s="24">
        <f t="shared" si="13"/>
        <v>5.6673354245635323</v>
      </c>
      <c r="AA16" s="24">
        <f t="shared" si="14"/>
        <v>2.5778627232309277</v>
      </c>
      <c r="AB16" s="29">
        <f t="shared" si="3"/>
        <v>-4.6426645754364682</v>
      </c>
      <c r="AC16" s="29">
        <f t="shared" si="15"/>
        <v>4.7303627232309271</v>
      </c>
    </row>
    <row r="17" spans="1:29" x14ac:dyDescent="0.3">
      <c r="A17" s="13" t="s">
        <v>57</v>
      </c>
      <c r="B17" s="1" t="s">
        <v>60</v>
      </c>
      <c r="C17" s="1" t="s">
        <v>44</v>
      </c>
      <c r="D17" s="1" t="s">
        <v>45</v>
      </c>
      <c r="E17" s="11">
        <v>13.6</v>
      </c>
      <c r="F17" s="10">
        <f>(('Env. and bio. parameters'!H17-'Env. and bio. parameters'!G17)+('Env. and bio. parameters'!G17-'Env. and bio. parameters'!I17))/2</f>
        <v>2.2999999999999998</v>
      </c>
      <c r="G17" s="3"/>
      <c r="H17" s="23">
        <v>0.66390000000000005</v>
      </c>
      <c r="I17" s="23">
        <v>4.3E-3</v>
      </c>
      <c r="K17" s="24">
        <f t="shared" si="4"/>
        <v>3.764611919572701</v>
      </c>
      <c r="L17" s="24">
        <f t="shared" si="5"/>
        <v>2.3352281452327182</v>
      </c>
      <c r="M17" s="29">
        <f t="shared" si="0"/>
        <v>-9.8353880804272986</v>
      </c>
      <c r="N17" s="29">
        <f t="shared" si="6"/>
        <v>4.635228145232718</v>
      </c>
      <c r="O17" s="25"/>
      <c r="P17" s="24">
        <f t="shared" si="7"/>
        <v>5.2811784070856902</v>
      </c>
      <c r="Q17" s="24">
        <f t="shared" si="8"/>
        <v>2.3379302229065972</v>
      </c>
      <c r="R17" s="29">
        <f t="shared" si="1"/>
        <v>-8.3188215929143094</v>
      </c>
      <c r="S17" s="29">
        <f t="shared" si="9"/>
        <v>4.6379302229065971</v>
      </c>
      <c r="T17" s="25"/>
      <c r="U17" s="24">
        <f t="shared" si="10"/>
        <v>3.65393477345566</v>
      </c>
      <c r="V17" s="24">
        <f t="shared" si="11"/>
        <v>2.4648103531287213</v>
      </c>
      <c r="W17" s="29">
        <f t="shared" si="2"/>
        <v>-9.9460652265443397</v>
      </c>
      <c r="X17" s="29">
        <f t="shared" si="12"/>
        <v>4.7648103531287216</v>
      </c>
      <c r="Y17" s="25"/>
      <c r="Z17" s="24">
        <f t="shared" si="13"/>
        <v>4.5459370883016277</v>
      </c>
      <c r="AA17" s="24">
        <f t="shared" si="14"/>
        <v>2.42258577699269</v>
      </c>
      <c r="AB17" s="29">
        <f t="shared" si="3"/>
        <v>-9.054062911698372</v>
      </c>
      <c r="AC17" s="29">
        <f t="shared" si="15"/>
        <v>4.7225857769926893</v>
      </c>
    </row>
    <row r="18" spans="1:29" x14ac:dyDescent="0.3">
      <c r="A18" s="13" t="s">
        <v>58</v>
      </c>
      <c r="B18" s="1" t="s">
        <v>60</v>
      </c>
      <c r="C18" s="1" t="s">
        <v>44</v>
      </c>
      <c r="D18" s="1" t="s">
        <v>47</v>
      </c>
      <c r="E18" s="11">
        <v>13.2</v>
      </c>
      <c r="F18" s="10">
        <f>(('Env. and bio. parameters'!H18-'Env. and bio. parameters'!G18)+('Env. and bio. parameters'!G18-'Env. and bio. parameters'!I18))/2</f>
        <v>2.5</v>
      </c>
      <c r="G18" s="3"/>
      <c r="H18" s="23">
        <v>0.62949999999999995</v>
      </c>
      <c r="I18" s="23">
        <v>4.3E-3</v>
      </c>
      <c r="K18" s="24">
        <f t="shared" si="4"/>
        <v>13.606399034025287</v>
      </c>
      <c r="L18" s="24">
        <f t="shared" si="5"/>
        <v>2.5931703803287247</v>
      </c>
      <c r="M18" s="25">
        <f t="shared" si="0"/>
        <v>0.40639903402528788</v>
      </c>
      <c r="N18" s="25">
        <f t="shared" si="6"/>
        <v>5.0931703803287247</v>
      </c>
      <c r="O18" s="25"/>
      <c r="P18" s="24">
        <f t="shared" si="7"/>
        <v>15.13207060001622</v>
      </c>
      <c r="Q18" s="24">
        <f t="shared" si="8"/>
        <v>2.5949610709233188</v>
      </c>
      <c r="R18" s="25">
        <f t="shared" si="1"/>
        <v>1.9320706000162211</v>
      </c>
      <c r="S18" s="25">
        <f t="shared" si="9"/>
        <v>5.0949610709233184</v>
      </c>
      <c r="T18" s="25"/>
      <c r="U18" s="24">
        <f t="shared" si="10"/>
        <v>14.073280623273206</v>
      </c>
      <c r="V18" s="24">
        <f t="shared" si="11"/>
        <v>2.7537572055297104</v>
      </c>
      <c r="W18" s="25">
        <f t="shared" si="2"/>
        <v>0.87328062327320666</v>
      </c>
      <c r="X18" s="25">
        <f t="shared" si="12"/>
        <v>5.2537572055297108</v>
      </c>
      <c r="Y18" s="25"/>
      <c r="Z18" s="24">
        <f t="shared" si="13"/>
        <v>14.774926602020059</v>
      </c>
      <c r="AA18" s="24">
        <f t="shared" si="14"/>
        <v>2.7002773923417376</v>
      </c>
      <c r="AB18" s="25">
        <f t="shared" si="3"/>
        <v>1.5749266020200601</v>
      </c>
      <c r="AC18" s="25">
        <f t="shared" si="15"/>
        <v>5.2002773923417376</v>
      </c>
    </row>
    <row r="19" spans="1:29" x14ac:dyDescent="0.3">
      <c r="A19" s="13" t="s">
        <v>59</v>
      </c>
      <c r="B19" s="1" t="s">
        <v>60</v>
      </c>
      <c r="C19" s="1" t="s">
        <v>46</v>
      </c>
      <c r="D19" s="1"/>
      <c r="E19" s="11">
        <v>10.4</v>
      </c>
      <c r="F19" s="10">
        <f>(('Env. and bio. parameters'!H19-'Env. and bio. parameters'!G19)+('Env. and bio. parameters'!G19-'Env. and bio. parameters'!I19))/2</f>
        <v>2.2000000000000002</v>
      </c>
      <c r="G19" s="3"/>
      <c r="H19" s="23">
        <v>0.65</v>
      </c>
      <c r="I19" s="23">
        <v>4.3E-3</v>
      </c>
      <c r="K19" s="24">
        <f t="shared" si="4"/>
        <v>7.6179560799101296</v>
      </c>
      <c r="L19" s="24">
        <f t="shared" si="5"/>
        <v>2.4340770385959947</v>
      </c>
      <c r="M19" s="25">
        <f t="shared" si="0"/>
        <v>-2.7820439200898708</v>
      </c>
      <c r="N19" s="25">
        <f t="shared" si="6"/>
        <v>4.6340770385959953</v>
      </c>
      <c r="O19" s="25"/>
      <c r="P19" s="24">
        <f t="shared" si="7"/>
        <v>9.1386337454463273</v>
      </c>
      <c r="Q19" s="24">
        <f t="shared" si="8"/>
        <v>2.4364534827487336</v>
      </c>
      <c r="R19" s="25">
        <f t="shared" si="1"/>
        <v>-1.261366254553673</v>
      </c>
      <c r="S19" s="25">
        <f t="shared" si="9"/>
        <v>4.6364534827487338</v>
      </c>
      <c r="T19" s="25"/>
      <c r="U19" s="24">
        <f t="shared" si="10"/>
        <v>7.7258764930438701</v>
      </c>
      <c r="V19" s="24">
        <f t="shared" si="11"/>
        <v>2.5751946032411261</v>
      </c>
      <c r="W19" s="25">
        <f t="shared" si="2"/>
        <v>-2.6741235069561302</v>
      </c>
      <c r="X19" s="25">
        <f t="shared" si="12"/>
        <v>4.7751946032411263</v>
      </c>
      <c r="Y19" s="25"/>
      <c r="Z19" s="24">
        <f t="shared" si="13"/>
        <v>8.5463229643005434</v>
      </c>
      <c r="AA19" s="24">
        <f t="shared" si="14"/>
        <v>2.5287978888235751</v>
      </c>
      <c r="AB19" s="25">
        <f t="shared" si="3"/>
        <v>-1.853677035699457</v>
      </c>
      <c r="AC19" s="25">
        <f t="shared" si="15"/>
        <v>4.7287978888235749</v>
      </c>
    </row>
    <row r="20" spans="1:29" x14ac:dyDescent="0.3">
      <c r="A20" s="14" t="s">
        <v>61</v>
      </c>
      <c r="B20" s="1" t="s">
        <v>32</v>
      </c>
      <c r="C20" s="1" t="s">
        <v>44</v>
      </c>
      <c r="D20" s="1" t="s">
        <v>45</v>
      </c>
      <c r="E20" s="3">
        <v>4.76</v>
      </c>
      <c r="F20" s="10">
        <f>(('Env. and bio. parameters'!H20-'Env. and bio. parameters'!G20)+('Env. and bio. parameters'!G20-'Env. and bio. parameters'!I20))/2</f>
        <v>0.64999999999999991</v>
      </c>
      <c r="G20" s="3"/>
      <c r="H20" s="23">
        <v>0.67296014688293093</v>
      </c>
      <c r="I20" s="23">
        <v>9.1374787506938136E-3</v>
      </c>
      <c r="K20" s="24">
        <f t="shared" si="4"/>
        <v>1.3367434961137974</v>
      </c>
      <c r="L20" s="24">
        <f t="shared" si="5"/>
        <v>4.8329660786239019</v>
      </c>
      <c r="M20" s="25">
        <f t="shared" si="0"/>
        <v>-3.4232565038862024</v>
      </c>
      <c r="N20" s="25">
        <f t="shared" si="6"/>
        <v>5.4829660786239014</v>
      </c>
      <c r="O20" s="25"/>
      <c r="P20" s="24">
        <f t="shared" si="7"/>
        <v>2.85036377513552</v>
      </c>
      <c r="Q20" s="24">
        <f t="shared" si="8"/>
        <v>4.8391026717274528</v>
      </c>
      <c r="R20" s="25">
        <f t="shared" si="1"/>
        <v>-1.9096362248644798</v>
      </c>
      <c r="S20" s="25">
        <f t="shared" si="9"/>
        <v>5.4891026717274531</v>
      </c>
      <c r="T20" s="25"/>
      <c r="U20" s="24">
        <f t="shared" si="10"/>
        <v>1.0932208098452065</v>
      </c>
      <c r="V20" s="24">
        <f t="shared" si="11"/>
        <v>5.0936882154970693</v>
      </c>
      <c r="W20" s="25">
        <f t="shared" si="2"/>
        <v>-3.6667791901547933</v>
      </c>
      <c r="X20" s="25">
        <f t="shared" si="12"/>
        <v>5.7436882154970696</v>
      </c>
      <c r="Y20" s="25"/>
      <c r="Z20" s="24">
        <f t="shared" si="13"/>
        <v>2.0283840246734712</v>
      </c>
      <c r="AA20" s="24">
        <f t="shared" si="14"/>
        <v>5.0092355982638246</v>
      </c>
      <c r="AB20" s="25">
        <f t="shared" si="3"/>
        <v>-2.7316159753265286</v>
      </c>
      <c r="AC20" s="25">
        <f t="shared" si="15"/>
        <v>5.6592355982638249</v>
      </c>
    </row>
    <row r="21" spans="1:29" x14ac:dyDescent="0.3">
      <c r="A21" s="14" t="s">
        <v>62</v>
      </c>
      <c r="B21" s="1" t="s">
        <v>32</v>
      </c>
      <c r="C21" s="1" t="s">
        <v>44</v>
      </c>
      <c r="D21" s="1" t="s">
        <v>45</v>
      </c>
      <c r="E21" s="3">
        <v>1</v>
      </c>
      <c r="F21" s="10">
        <f>(('Env. and bio. parameters'!H21-'Env. and bio. parameters'!G21)+('Env. and bio. parameters'!G21-'Env. and bio. parameters'!I21))/2</f>
        <v>2.6050000000000004</v>
      </c>
      <c r="G21" s="3"/>
      <c r="H21" s="23">
        <v>0.68612741413889622</v>
      </c>
      <c r="I21" s="23">
        <v>6.7981816867721074E-3</v>
      </c>
      <c r="K21" s="24">
        <f t="shared" si="4"/>
        <v>-2.0805578869990313</v>
      </c>
      <c r="L21" s="24">
        <f t="shared" si="5"/>
        <v>3.4630414976799733</v>
      </c>
      <c r="M21" s="25">
        <f t="shared" si="0"/>
        <v>-3.0805578869990313</v>
      </c>
      <c r="N21" s="25">
        <f t="shared" si="6"/>
        <v>6.0680414976799737</v>
      </c>
      <c r="O21" s="25"/>
      <c r="P21" s="24">
        <f t="shared" si="7"/>
        <v>-0.57154532013254311</v>
      </c>
      <c r="Q21" s="24">
        <f t="shared" si="8"/>
        <v>3.467982008371417</v>
      </c>
      <c r="R21" s="25">
        <f t="shared" si="1"/>
        <v>-1.5715453201325431</v>
      </c>
      <c r="S21" s="25">
        <f t="shared" si="9"/>
        <v>6.072982008371417</v>
      </c>
      <c r="T21" s="25"/>
      <c r="U21" s="24">
        <f t="shared" si="10"/>
        <v>-2.5047604960561216</v>
      </c>
      <c r="V21" s="24">
        <f t="shared" si="11"/>
        <v>3.6424384408917505</v>
      </c>
      <c r="W21" s="25">
        <f t="shared" si="2"/>
        <v>-3.5047604960561216</v>
      </c>
      <c r="X21" s="25">
        <f t="shared" si="12"/>
        <v>6.2474384408917505</v>
      </c>
      <c r="Y21" s="25"/>
      <c r="Z21" s="24">
        <f t="shared" si="13"/>
        <v>-1.5113250138492162</v>
      </c>
      <c r="AA21" s="24">
        <f t="shared" si="14"/>
        <v>3.5848394300598603</v>
      </c>
      <c r="AB21" s="25">
        <f t="shared" si="3"/>
        <v>-2.5113250138492162</v>
      </c>
      <c r="AC21" s="25">
        <f t="shared" si="15"/>
        <v>6.1898394300598607</v>
      </c>
    </row>
    <row r="22" spans="1:29" x14ac:dyDescent="0.3">
      <c r="A22" s="14" t="s">
        <v>63</v>
      </c>
      <c r="B22" s="1" t="s">
        <v>32</v>
      </c>
      <c r="C22" s="1" t="s">
        <v>44</v>
      </c>
      <c r="D22" s="1" t="s">
        <v>45</v>
      </c>
      <c r="E22" s="10">
        <v>0.06</v>
      </c>
      <c r="F22" s="10">
        <f>(('Env. and bio. parameters'!H22-'Env. and bio. parameters'!G22)+('Env. and bio. parameters'!G22-'Env. and bio. parameters'!I22))/2</f>
        <v>0.83500000000000008</v>
      </c>
      <c r="G22" s="10"/>
      <c r="H22" s="23">
        <v>0.68415355390498944</v>
      </c>
      <c r="I22" s="23">
        <v>6.4649531406061949E-3</v>
      </c>
      <c r="K22" s="24">
        <f t="shared" si="4"/>
        <v>-1.5764057523757629</v>
      </c>
      <c r="L22" s="24">
        <f t="shared" si="5"/>
        <v>3.3117019552254803</v>
      </c>
      <c r="M22" s="25">
        <f t="shared" si="0"/>
        <v>-1.6364057523757629</v>
      </c>
      <c r="N22" s="25">
        <f t="shared" si="6"/>
        <v>4.1467019552254802</v>
      </c>
      <c r="O22" s="25"/>
      <c r="P22" s="24">
        <f t="shared" si="7"/>
        <v>-6.6679745043813909E-2</v>
      </c>
      <c r="Q22" s="24">
        <f t="shared" si="8"/>
        <v>3.3163503013723363</v>
      </c>
      <c r="R22" s="25">
        <f t="shared" si="1"/>
        <v>-0.12667974504381391</v>
      </c>
      <c r="S22" s="25">
        <f t="shared" si="9"/>
        <v>4.1513503013723367</v>
      </c>
      <c r="T22" s="25"/>
      <c r="U22" s="24">
        <f t="shared" si="10"/>
        <v>-1.9744124864661785</v>
      </c>
      <c r="V22" s="24">
        <f t="shared" si="11"/>
        <v>3.4842990823481204</v>
      </c>
      <c r="W22" s="25">
        <f t="shared" si="2"/>
        <v>-2.0344124864661786</v>
      </c>
      <c r="X22" s="25">
        <f t="shared" si="12"/>
        <v>4.3192990823481203</v>
      </c>
      <c r="Y22" s="25"/>
      <c r="Z22" s="24">
        <f t="shared" si="13"/>
        <v>-0.98939336317562265</v>
      </c>
      <c r="AA22" s="24">
        <f t="shared" si="14"/>
        <v>3.4288090869420307</v>
      </c>
      <c r="AB22" s="25">
        <f t="shared" si="3"/>
        <v>-1.0493933631756227</v>
      </c>
      <c r="AC22" s="25">
        <f t="shared" si="15"/>
        <v>4.2638090869420306</v>
      </c>
    </row>
    <row r="23" spans="1:29" x14ac:dyDescent="0.3">
      <c r="A23" s="1" t="s">
        <v>71</v>
      </c>
      <c r="B23" s="1" t="s">
        <v>60</v>
      </c>
      <c r="C23" s="1" t="s">
        <v>44</v>
      </c>
      <c r="D23" s="1" t="s">
        <v>45</v>
      </c>
      <c r="E23" s="1">
        <v>-1.9</v>
      </c>
      <c r="F23" s="10">
        <f>(('Env. and bio. parameters'!H23-'Env. and bio. parameters'!G23)+('Env. and bio. parameters'!G23-'Env. and bio. parameters'!I23))/2</f>
        <v>0.19999999999999996</v>
      </c>
      <c r="G23" s="1"/>
      <c r="H23" s="22">
        <v>0.69210000000000005</v>
      </c>
      <c r="I23" s="22">
        <v>3.8999999999999998E-3</v>
      </c>
      <c r="K23" s="24">
        <f t="shared" si="4"/>
        <v>-3.5891093312901035</v>
      </c>
      <c r="L23" s="24">
        <f t="shared" si="5"/>
        <v>1.9537027942909653</v>
      </c>
      <c r="M23" s="25">
        <f t="shared" si="0"/>
        <v>-1.6891093312901035</v>
      </c>
      <c r="N23" s="25">
        <f t="shared" si="6"/>
        <v>2.1537027942909654</v>
      </c>
      <c r="O23" s="25"/>
      <c r="P23" s="24">
        <f t="shared" si="7"/>
        <v>-2.0823007523377441</v>
      </c>
      <c r="Q23" s="24">
        <f t="shared" si="8"/>
        <v>1.9566241478176616</v>
      </c>
      <c r="R23" s="25">
        <f t="shared" si="1"/>
        <v>-0.18230075233774423</v>
      </c>
      <c r="S23" s="25">
        <f t="shared" si="9"/>
        <v>2.1566241478176615</v>
      </c>
      <c r="T23" s="25"/>
      <c r="U23" s="24">
        <f t="shared" si="10"/>
        <v>-4.0907535392143473</v>
      </c>
      <c r="V23" s="24">
        <f t="shared" si="11"/>
        <v>2.0530836650304507</v>
      </c>
      <c r="W23" s="25">
        <f t="shared" si="2"/>
        <v>-2.1907535392143473</v>
      </c>
      <c r="X23" s="25">
        <f t="shared" si="12"/>
        <v>2.2530836650304504</v>
      </c>
      <c r="Y23" s="25"/>
      <c r="Z23" s="24">
        <f t="shared" si="13"/>
        <v>-3.072504138405975</v>
      </c>
      <c r="AA23" s="24">
        <f t="shared" si="14"/>
        <v>2.0213053806567194</v>
      </c>
      <c r="AB23" s="25">
        <f t="shared" si="3"/>
        <v>-1.1725041384059751</v>
      </c>
      <c r="AC23" s="25">
        <f t="shared" si="15"/>
        <v>2.2213053806567196</v>
      </c>
    </row>
    <row r="24" spans="1:29" x14ac:dyDescent="0.3">
      <c r="A24" s="1" t="s">
        <v>72</v>
      </c>
      <c r="B24" s="1" t="s">
        <v>60</v>
      </c>
      <c r="C24" s="1" t="s">
        <v>44</v>
      </c>
      <c r="D24" s="1" t="s">
        <v>47</v>
      </c>
      <c r="E24" s="1">
        <v>-1.1000000000000001</v>
      </c>
      <c r="F24" s="10">
        <f>(('Env. and bio. parameters'!H24-'Env. and bio. parameters'!G24)+('Env. and bio. parameters'!G24-'Env. and bio. parameters'!I24))/2</f>
        <v>0.4</v>
      </c>
      <c r="G24" s="1"/>
      <c r="H24" s="22">
        <v>0.69410000000000005</v>
      </c>
      <c r="I24" s="22">
        <v>4.3499999999999997E-3</v>
      </c>
      <c r="K24" s="24">
        <f t="shared" si="4"/>
        <v>-4.0886666373159528</v>
      </c>
      <c r="L24" s="24">
        <f t="shared" si="5"/>
        <v>2.1670372155668862</v>
      </c>
      <c r="M24" s="29">
        <f t="shared" si="0"/>
        <v>-2.9886666373159527</v>
      </c>
      <c r="N24" s="29">
        <f t="shared" si="6"/>
        <v>2.5670372155668861</v>
      </c>
      <c r="O24" s="25"/>
      <c r="P24" s="24">
        <f t="shared" si="7"/>
        <v>-2.5826107012424018</v>
      </c>
      <c r="Q24" s="24">
        <f t="shared" si="8"/>
        <v>2.1703266521290709</v>
      </c>
      <c r="R24" s="25">
        <f t="shared" si="1"/>
        <v>-1.4826107012424017</v>
      </c>
      <c r="S24" s="25">
        <f t="shared" si="9"/>
        <v>2.5703266521290709</v>
      </c>
      <c r="T24" s="25"/>
      <c r="U24" s="24">
        <f t="shared" si="10"/>
        <v>-4.615645272936149</v>
      </c>
      <c r="V24" s="24">
        <f t="shared" si="11"/>
        <v>2.2766019159281372</v>
      </c>
      <c r="W24" s="29">
        <f t="shared" si="2"/>
        <v>-3.5156452729361489</v>
      </c>
      <c r="X24" s="29">
        <f t="shared" si="12"/>
        <v>2.6766019159281371</v>
      </c>
      <c r="Y24" s="25"/>
      <c r="Z24" s="24">
        <f t="shared" si="13"/>
        <v>-3.5893004325549214</v>
      </c>
      <c r="AA24" s="24">
        <f t="shared" si="14"/>
        <v>2.2416154523387228</v>
      </c>
      <c r="AB24" s="30">
        <f t="shared" si="3"/>
        <v>-2.4893004325549213</v>
      </c>
      <c r="AC24" s="25">
        <f t="shared" si="15"/>
        <v>2.6416154523387227</v>
      </c>
    </row>
    <row r="25" spans="1:29" x14ac:dyDescent="0.3">
      <c r="A25" s="13" t="s">
        <v>75</v>
      </c>
      <c r="B25" s="1" t="s">
        <v>60</v>
      </c>
      <c r="C25" s="1" t="s">
        <v>44</v>
      </c>
      <c r="D25" s="1" t="s">
        <v>45</v>
      </c>
      <c r="E25" s="19">
        <v>3.9</v>
      </c>
      <c r="F25" s="10">
        <f>(('Env. and bio. parameters'!H25-'Env. and bio. parameters'!G25)+('Env. and bio. parameters'!G25-'Env. and bio. parameters'!I25))/2</f>
        <v>0.60000000000000009</v>
      </c>
      <c r="G25" s="1"/>
      <c r="H25" s="22">
        <v>0.66639999999999999</v>
      </c>
      <c r="I25" s="22">
        <v>3.5500000000000002E-3</v>
      </c>
      <c r="K25" s="24">
        <f t="shared" si="4"/>
        <v>3.0882526175757334</v>
      </c>
      <c r="L25" s="24">
        <f t="shared" si="5"/>
        <v>1.9138286432326184</v>
      </c>
      <c r="M25" s="25">
        <f t="shared" si="0"/>
        <v>-0.81174738242426647</v>
      </c>
      <c r="N25" s="25">
        <f t="shared" si="6"/>
        <v>2.5138286432326185</v>
      </c>
      <c r="O25" s="25"/>
      <c r="P25" s="24">
        <f t="shared" si="7"/>
        <v>4.6040258446509483</v>
      </c>
      <c r="Q25" s="24">
        <f t="shared" si="8"/>
        <v>1.9161033652322401</v>
      </c>
      <c r="R25" s="25">
        <f t="shared" si="1"/>
        <v>0.70402584465094842</v>
      </c>
      <c r="S25" s="25">
        <f t="shared" si="9"/>
        <v>2.5161033652322402</v>
      </c>
      <c r="T25" s="25"/>
      <c r="U25" s="24">
        <f t="shared" si="10"/>
        <v>2.9401902644862048</v>
      </c>
      <c r="V25" s="24">
        <f t="shared" si="11"/>
        <v>2.0192010206817597</v>
      </c>
      <c r="W25" s="25">
        <f t="shared" si="2"/>
        <v>-0.95980973551379511</v>
      </c>
      <c r="X25" s="25">
        <f t="shared" si="12"/>
        <v>2.6192010206817598</v>
      </c>
      <c r="Y25" s="25"/>
      <c r="Z25" s="24">
        <f t="shared" si="13"/>
        <v>3.844364704989232</v>
      </c>
      <c r="AA25" s="24">
        <f t="shared" si="14"/>
        <v>1.9849212650438266</v>
      </c>
      <c r="AB25" s="25">
        <f t="shared" si="3"/>
        <v>-5.5635295010767916E-2</v>
      </c>
      <c r="AC25" s="25">
        <f t="shared" si="15"/>
        <v>2.5849212650438265</v>
      </c>
    </row>
    <row r="26" spans="1:29" x14ac:dyDescent="0.3">
      <c r="A26" s="13" t="s">
        <v>76</v>
      </c>
      <c r="B26" s="1" t="s">
        <v>60</v>
      </c>
      <c r="C26" s="1" t="s">
        <v>44</v>
      </c>
      <c r="D26" s="1" t="s">
        <v>45</v>
      </c>
      <c r="E26" s="19">
        <v>3.7</v>
      </c>
      <c r="F26" s="10">
        <f>(('Env. and bio. parameters'!H26-'Env. and bio. parameters'!G26)+('Env. and bio. parameters'!G26-'Env. and bio. parameters'!I26))/2</f>
        <v>0.59999999999999987</v>
      </c>
      <c r="G26" s="1"/>
      <c r="H26" s="22">
        <v>0.67520000000000002</v>
      </c>
      <c r="I26" s="22">
        <v>3.5500000000000002E-3</v>
      </c>
      <c r="K26" s="24">
        <f t="shared" si="4"/>
        <v>0.74630609540747628</v>
      </c>
      <c r="L26" s="24">
        <f t="shared" si="5"/>
        <v>1.8655638653850661</v>
      </c>
      <c r="M26" s="29">
        <f t="shared" si="0"/>
        <v>-2.9536939045925239</v>
      </c>
      <c r="N26" s="29">
        <f t="shared" si="6"/>
        <v>2.4655638653850662</v>
      </c>
      <c r="O26" s="25"/>
      <c r="P26" s="24">
        <f t="shared" si="7"/>
        <v>2.259168627898589</v>
      </c>
      <c r="Q26" s="24">
        <f t="shared" si="8"/>
        <v>1.8679834708235379</v>
      </c>
      <c r="R26" s="25">
        <f t="shared" si="1"/>
        <v>-1.4408313721014112</v>
      </c>
      <c r="S26" s="25">
        <f t="shared" si="9"/>
        <v>2.4679834708235378</v>
      </c>
      <c r="T26" s="25"/>
      <c r="U26" s="24">
        <f t="shared" si="10"/>
        <v>0.47104140928576044</v>
      </c>
      <c r="V26" s="24">
        <f t="shared" si="11"/>
        <v>1.9655093019080621</v>
      </c>
      <c r="W26" s="29">
        <f t="shared" si="2"/>
        <v>-3.2289585907142397</v>
      </c>
      <c r="X26" s="29">
        <f t="shared" si="12"/>
        <v>2.5655093019080617</v>
      </c>
      <c r="Y26" s="25"/>
      <c r="Z26" s="24">
        <f t="shared" si="13"/>
        <v>1.4164788155520114</v>
      </c>
      <c r="AA26" s="24">
        <f t="shared" si="14"/>
        <v>1.9331832602046999</v>
      </c>
      <c r="AB26" s="29">
        <f t="shared" si="3"/>
        <v>-2.2835211844479888</v>
      </c>
      <c r="AC26" s="25">
        <f t="shared" si="15"/>
        <v>2.5331832602046997</v>
      </c>
    </row>
    <row r="27" spans="1:29" x14ac:dyDescent="0.3">
      <c r="A27" s="13" t="s">
        <v>77</v>
      </c>
      <c r="B27" s="1" t="s">
        <v>60</v>
      </c>
      <c r="C27" s="1" t="s">
        <v>44</v>
      </c>
      <c r="D27" s="1" t="s">
        <v>45</v>
      </c>
      <c r="E27" s="19">
        <v>3.14</v>
      </c>
      <c r="F27" s="10">
        <f>(('Env. and bio. parameters'!H27-'Env. and bio. parameters'!G27)+('Env. and bio. parameters'!G27-'Env. and bio. parameters'!I27))/2</f>
        <v>0.30000000000000004</v>
      </c>
      <c r="G27" s="1"/>
      <c r="H27" s="22">
        <v>0.66700000000000004</v>
      </c>
      <c r="I27" s="22">
        <v>4.3499999999999997E-3</v>
      </c>
      <c r="K27" s="24">
        <f t="shared" si="4"/>
        <v>2.9266625173968919</v>
      </c>
      <c r="L27" s="24">
        <f t="shared" si="5"/>
        <v>2.3410009394750024</v>
      </c>
      <c r="M27" s="25">
        <f t="shared" si="0"/>
        <v>-0.21333748260310825</v>
      </c>
      <c r="N27" s="25">
        <f t="shared" si="6"/>
        <v>2.6410009394750027</v>
      </c>
      <c r="O27" s="25"/>
      <c r="P27" s="24">
        <f t="shared" si="7"/>
        <v>4.4422430763314082</v>
      </c>
      <c r="Q27" s="24">
        <f t="shared" si="8"/>
        <v>2.3438009654154524</v>
      </c>
      <c r="R27" s="25">
        <f t="shared" si="1"/>
        <v>1.3022430763314081</v>
      </c>
      <c r="S27" s="25">
        <f t="shared" si="9"/>
        <v>2.6438009654154522</v>
      </c>
      <c r="T27" s="25"/>
      <c r="U27" s="24">
        <f t="shared" si="10"/>
        <v>2.7697115879877856</v>
      </c>
      <c r="V27" s="24">
        <f t="shared" si="11"/>
        <v>2.4696517395221123</v>
      </c>
      <c r="W27" s="25">
        <f t="shared" si="2"/>
        <v>-0.37028841201221452</v>
      </c>
      <c r="X27" s="25">
        <f t="shared" si="12"/>
        <v>2.7696517395221125</v>
      </c>
      <c r="Y27" s="25"/>
      <c r="Z27" s="24">
        <f t="shared" si="13"/>
        <v>3.6767770937794353</v>
      </c>
      <c r="AA27" s="24">
        <f t="shared" si="14"/>
        <v>2.4278154845926219</v>
      </c>
      <c r="AB27" s="25">
        <f t="shared" si="3"/>
        <v>0.53677709377943517</v>
      </c>
      <c r="AC27" s="25">
        <f t="shared" si="15"/>
        <v>2.7278154845926217</v>
      </c>
    </row>
    <row r="28" spans="1:29" x14ac:dyDescent="0.3">
      <c r="A28" s="13" t="s">
        <v>78</v>
      </c>
      <c r="B28" s="1" t="s">
        <v>60</v>
      </c>
      <c r="C28" s="1" t="s">
        <v>44</v>
      </c>
      <c r="D28" s="1" t="s">
        <v>45</v>
      </c>
      <c r="E28" s="19">
        <v>3.4</v>
      </c>
      <c r="F28" s="10">
        <f>(('Env. and bio. parameters'!H28-'Env. and bio. parameters'!G28)+('Env. and bio. parameters'!G28-'Env. and bio. parameters'!I28))/2</f>
        <v>0.8</v>
      </c>
      <c r="G28" s="1"/>
      <c r="H28" s="22">
        <v>0.68110000000000004</v>
      </c>
      <c r="I28" s="22">
        <v>3.5500000000000002E-3</v>
      </c>
      <c r="K28" s="24">
        <f t="shared" si="4"/>
        <v>-0.79091242286938268</v>
      </c>
      <c r="L28" s="24">
        <f t="shared" si="5"/>
        <v>1.834328895653222</v>
      </c>
      <c r="M28" s="29">
        <f t="shared" si="0"/>
        <v>-4.190912422869383</v>
      </c>
      <c r="N28" s="29">
        <f t="shared" si="6"/>
        <v>2.6343288956532218</v>
      </c>
      <c r="O28" s="25"/>
      <c r="P28" s="24">
        <f t="shared" si="7"/>
        <v>0.71990199608700323</v>
      </c>
      <c r="Q28" s="24">
        <f t="shared" si="8"/>
        <v>1.8368376196601339</v>
      </c>
      <c r="R28" s="25">
        <f t="shared" si="1"/>
        <v>-2.6800980039129967</v>
      </c>
      <c r="S28" s="25">
        <f t="shared" si="9"/>
        <v>2.6368376196601337</v>
      </c>
      <c r="T28" s="25"/>
      <c r="U28" s="24">
        <f t="shared" si="10"/>
        <v>-1.1477886865473579</v>
      </c>
      <c r="V28" s="24">
        <f t="shared" si="11"/>
        <v>1.9308295344186299</v>
      </c>
      <c r="W28" s="29">
        <f t="shared" si="2"/>
        <v>-4.5477886865473582</v>
      </c>
      <c r="X28" s="29">
        <f t="shared" si="12"/>
        <v>2.7308295344186302</v>
      </c>
      <c r="Y28" s="25"/>
      <c r="Z28" s="24">
        <f t="shared" si="13"/>
        <v>-0.17600669769296928</v>
      </c>
      <c r="AA28" s="24">
        <f t="shared" si="14"/>
        <v>1.8997405924783184</v>
      </c>
      <c r="AB28" s="29">
        <f t="shared" si="3"/>
        <v>-3.5760066976929692</v>
      </c>
      <c r="AC28" s="25">
        <f t="shared" si="15"/>
        <v>2.6997405924783182</v>
      </c>
    </row>
    <row r="29" spans="1:29" x14ac:dyDescent="0.3">
      <c r="A29" s="13" t="s">
        <v>79</v>
      </c>
      <c r="B29" s="1" t="s">
        <v>60</v>
      </c>
      <c r="C29" s="1" t="s">
        <v>44</v>
      </c>
      <c r="D29" s="1" t="s">
        <v>45</v>
      </c>
      <c r="E29" s="19">
        <v>4.0999999999999996</v>
      </c>
      <c r="F29" s="10">
        <f>(('Env. and bio. parameters'!H29-'Env. and bio. parameters'!G29)+('Env. and bio. parameters'!G29-'Env. and bio. parameters'!I29))/2</f>
        <v>1.2</v>
      </c>
      <c r="G29" s="1"/>
      <c r="H29" s="22">
        <v>0.68689999999999996</v>
      </c>
      <c r="I29" s="22">
        <v>3.65E-3</v>
      </c>
      <c r="K29" s="24">
        <f t="shared" si="4"/>
        <v>-2.2771242015726898</v>
      </c>
      <c r="L29" s="24">
        <f t="shared" si="5"/>
        <v>1.8552936698522415</v>
      </c>
      <c r="M29" s="29">
        <f t="shared" si="0"/>
        <v>-6.3771242015726894</v>
      </c>
      <c r="N29" s="29">
        <f t="shared" si="6"/>
        <v>3.0552936698522415</v>
      </c>
      <c r="O29" s="25"/>
      <c r="P29" s="24">
        <f t="shared" si="7"/>
        <v>-0.76839294528690516</v>
      </c>
      <c r="Q29" s="24">
        <f t="shared" si="8"/>
        <v>1.8579571402536024</v>
      </c>
      <c r="R29" s="29">
        <f t="shared" si="1"/>
        <v>-4.8683929452869048</v>
      </c>
      <c r="S29" s="29">
        <f t="shared" si="9"/>
        <v>3.0579571402536025</v>
      </c>
      <c r="T29" s="25"/>
      <c r="U29" s="24">
        <f t="shared" si="10"/>
        <v>-2.7114975755197861</v>
      </c>
      <c r="V29" s="24">
        <f t="shared" si="11"/>
        <v>1.9511771770099873</v>
      </c>
      <c r="W29" s="29">
        <f t="shared" si="2"/>
        <v>-6.8114975755197857</v>
      </c>
      <c r="X29" s="29">
        <f t="shared" si="12"/>
        <v>3.1511771770099872</v>
      </c>
      <c r="Y29" s="25"/>
      <c r="Z29" s="24">
        <f t="shared" si="13"/>
        <v>-1.7147974203469403</v>
      </c>
      <c r="AA29" s="24">
        <f t="shared" si="14"/>
        <v>1.9204080042948899</v>
      </c>
      <c r="AB29" s="29">
        <f t="shared" si="3"/>
        <v>-5.8147974203469399</v>
      </c>
      <c r="AC29" s="25">
        <f t="shared" si="15"/>
        <v>3.1204080042948901</v>
      </c>
    </row>
    <row r="30" spans="1:29" x14ac:dyDescent="0.3">
      <c r="A30" s="11" t="s">
        <v>87</v>
      </c>
      <c r="B30" s="1" t="s">
        <v>60</v>
      </c>
      <c r="C30" s="1" t="s">
        <v>44</v>
      </c>
      <c r="D30" s="1" t="s">
        <v>47</v>
      </c>
      <c r="E30" s="11">
        <v>10</v>
      </c>
      <c r="F30" s="10">
        <f>(('Env. and bio. parameters'!H30-'Env. and bio. parameters'!G30)+('Env. and bio. parameters'!G30-'Env. and bio. parameters'!I30))/2</f>
        <v>0.90000000000000036</v>
      </c>
      <c r="G30" s="1"/>
      <c r="H30" s="22">
        <v>0.63870000000000005</v>
      </c>
      <c r="I30" s="22">
        <v>5.45E-3</v>
      </c>
      <c r="K30" s="24">
        <f t="shared" si="4"/>
        <v>10.871926467405444</v>
      </c>
      <c r="L30" s="24">
        <f t="shared" si="5"/>
        <v>3.1935619955588184</v>
      </c>
      <c r="M30" s="25">
        <f t="shared" si="0"/>
        <v>0.87192646740544433</v>
      </c>
      <c r="N30" s="25">
        <f t="shared" si="6"/>
        <v>4.0935619955588187</v>
      </c>
      <c r="O30" s="25"/>
      <c r="P30" s="24">
        <f t="shared" si="7"/>
        <v>12.395530070554173</v>
      </c>
      <c r="Q30" s="24">
        <f t="shared" si="8"/>
        <v>3.1961863604118306</v>
      </c>
      <c r="R30" s="25">
        <f t="shared" si="1"/>
        <v>2.3955300705541731</v>
      </c>
      <c r="S30" s="25">
        <f t="shared" si="9"/>
        <v>4.0961863604118314</v>
      </c>
      <c r="T30" s="25"/>
      <c r="U30" s="24">
        <f t="shared" si="10"/>
        <v>11.171960981167501</v>
      </c>
      <c r="V30" s="24">
        <f t="shared" si="11"/>
        <v>3.3855247702586033</v>
      </c>
      <c r="W30" s="25">
        <f t="shared" si="2"/>
        <v>1.1719609811675014</v>
      </c>
      <c r="X30" s="25">
        <f t="shared" si="12"/>
        <v>4.2855247702586041</v>
      </c>
      <c r="Y30" s="25"/>
      <c r="Z30" s="24">
        <f t="shared" si="13"/>
        <v>11.929015188030462</v>
      </c>
      <c r="AA30" s="24">
        <f t="shared" si="14"/>
        <v>3.3219598733691806</v>
      </c>
      <c r="AB30" s="25">
        <f t="shared" si="3"/>
        <v>1.929015188030462</v>
      </c>
      <c r="AC30" s="25">
        <f t="shared" si="15"/>
        <v>4.2219598733691814</v>
      </c>
    </row>
    <row r="31" spans="1:29" x14ac:dyDescent="0.3">
      <c r="A31" s="11" t="s">
        <v>88</v>
      </c>
      <c r="B31" s="1" t="s">
        <v>60</v>
      </c>
      <c r="C31" s="1" t="s">
        <v>44</v>
      </c>
      <c r="D31" s="1" t="s">
        <v>47</v>
      </c>
      <c r="E31" s="11">
        <v>16.399999999999999</v>
      </c>
      <c r="F31" s="10">
        <f>(('Env. and bio. parameters'!H31-'Env. and bio. parameters'!G31)+('Env. and bio. parameters'!G31-'Env. and bio. parameters'!I31))/2</f>
        <v>0.70000000000000107</v>
      </c>
      <c r="G31" s="1"/>
      <c r="H31" s="22">
        <v>0.621</v>
      </c>
      <c r="I31" s="22">
        <v>6.5500000000000003E-3</v>
      </c>
      <c r="K31" s="24">
        <f t="shared" si="4"/>
        <v>16.204298506588373</v>
      </c>
      <c r="L31" s="24">
        <f t="shared" si="5"/>
        <v>4.0583954073193871</v>
      </c>
      <c r="M31" s="25">
        <f t="shared" si="0"/>
        <v>-0.1957014934116259</v>
      </c>
      <c r="N31" s="25">
        <f t="shared" si="6"/>
        <v>4.7583954073193881</v>
      </c>
      <c r="O31" s="25"/>
      <c r="P31" s="24">
        <f t="shared" si="7"/>
        <v>17.731600847922266</v>
      </c>
      <c r="Q31" s="24">
        <f t="shared" si="8"/>
        <v>4.0606873093646438</v>
      </c>
      <c r="R31" s="25">
        <f t="shared" si="1"/>
        <v>1.3316008479222674</v>
      </c>
      <c r="S31" s="25">
        <f t="shared" si="9"/>
        <v>4.7606873093646449</v>
      </c>
      <c r="T31" s="25"/>
      <c r="U31" s="24">
        <f t="shared" si="10"/>
        <v>16.834325595210601</v>
      </c>
      <c r="V31" s="24">
        <f t="shared" si="11"/>
        <v>4.3168121196559754</v>
      </c>
      <c r="W31" s="25">
        <f t="shared" si="2"/>
        <v>0.43432559521060199</v>
      </c>
      <c r="X31" s="25">
        <f t="shared" si="12"/>
        <v>5.0168121196559765</v>
      </c>
      <c r="Y31" s="25"/>
      <c r="Z31" s="24">
        <f t="shared" si="13"/>
        <v>17.481496343164224</v>
      </c>
      <c r="AA31" s="24">
        <f t="shared" si="14"/>
        <v>4.2303028912171685</v>
      </c>
      <c r="AB31" s="25">
        <f t="shared" si="3"/>
        <v>1.0814963431642255</v>
      </c>
      <c r="AC31" s="25">
        <f t="shared" si="15"/>
        <v>4.9303028912171696</v>
      </c>
    </row>
    <row r="32" spans="1:29" x14ac:dyDescent="0.3">
      <c r="A32" s="11" t="s">
        <v>94</v>
      </c>
      <c r="B32" s="1" t="s">
        <v>60</v>
      </c>
      <c r="C32" s="1" t="s">
        <v>44</v>
      </c>
      <c r="D32" s="1" t="s">
        <v>47</v>
      </c>
      <c r="E32" s="11">
        <v>16.399999999999999</v>
      </c>
      <c r="F32" s="10">
        <f>(('Env. and bio. parameters'!H32-'Env. and bio. parameters'!G32)+('Env. and bio. parameters'!G32-'Env. and bio. parameters'!I32))/2</f>
        <v>0.70000000000000107</v>
      </c>
      <c r="G32" s="1"/>
      <c r="H32" s="22">
        <v>0.63880000000000003</v>
      </c>
      <c r="I32" s="22">
        <v>5.45E-3</v>
      </c>
      <c r="K32" s="24">
        <f t="shared" si="4"/>
        <v>10.842632266258192</v>
      </c>
      <c r="L32" s="24">
        <f t="shared" si="5"/>
        <v>3.1925739394618549</v>
      </c>
      <c r="M32" s="29">
        <f t="shared" si="0"/>
        <v>-5.5573677337418061</v>
      </c>
      <c r="N32" s="29">
        <f t="shared" si="6"/>
        <v>3.8925739394618559</v>
      </c>
      <c r="O32" s="25"/>
      <c r="P32" s="24">
        <f t="shared" si="7"/>
        <v>12.366211775896033</v>
      </c>
      <c r="Q32" s="24">
        <f t="shared" si="8"/>
        <v>3.1952019592990415</v>
      </c>
      <c r="R32" s="29">
        <f t="shared" si="1"/>
        <v>-4.0337882241039651</v>
      </c>
      <c r="S32" s="29">
        <f t="shared" si="9"/>
        <v>3.8952019592990426</v>
      </c>
      <c r="T32" s="25"/>
      <c r="U32" s="24">
        <f t="shared" si="10"/>
        <v>11.140906209518846</v>
      </c>
      <c r="V32" s="24">
        <f t="shared" si="11"/>
        <v>3.3844155501133191</v>
      </c>
      <c r="W32" s="29">
        <f t="shared" si="2"/>
        <v>-5.2590937904811526</v>
      </c>
      <c r="X32" s="29">
        <f t="shared" si="12"/>
        <v>4.0844155501133201</v>
      </c>
      <c r="Y32" s="25"/>
      <c r="Z32" s="24">
        <f t="shared" si="13"/>
        <v>11.898543378292629</v>
      </c>
      <c r="AA32" s="24">
        <f t="shared" si="14"/>
        <v>3.3208947443601855</v>
      </c>
      <c r="AB32" s="29">
        <f t="shared" si="3"/>
        <v>-4.5014566217073693</v>
      </c>
      <c r="AC32" s="25">
        <f t="shared" si="15"/>
        <v>4.0208947443601861</v>
      </c>
    </row>
    <row r="33" spans="1:29" x14ac:dyDescent="0.3">
      <c r="A33" s="13" t="s">
        <v>90</v>
      </c>
      <c r="B33" s="1" t="s">
        <v>60</v>
      </c>
      <c r="C33" s="1" t="s">
        <v>44</v>
      </c>
      <c r="D33" s="1" t="s">
        <v>47</v>
      </c>
      <c r="E33" s="11">
        <v>16.600000000000001</v>
      </c>
      <c r="F33" s="10">
        <f>(('Env. and bio. parameters'!H33-'Env. and bio. parameters'!G33)+('Env. and bio. parameters'!G33-'Env. and bio. parameters'!I33))/2</f>
        <v>1.0000000000000009</v>
      </c>
      <c r="G33" s="1"/>
      <c r="H33" s="22">
        <v>0.61129999999999995</v>
      </c>
      <c r="I33" s="22">
        <v>3.4499999999999999E-3</v>
      </c>
      <c r="K33" s="24">
        <f t="shared" si="4"/>
        <v>19.257008698593779</v>
      </c>
      <c r="L33" s="24">
        <f t="shared" si="5"/>
        <v>2.2060008309865484</v>
      </c>
      <c r="M33" s="25">
        <f t="shared" si="0"/>
        <v>2.6570086985937778</v>
      </c>
      <c r="N33" s="25">
        <f t="shared" si="6"/>
        <v>3.2060008309865493</v>
      </c>
      <c r="O33" s="25"/>
      <c r="P33" s="24">
        <f t="shared" si="7"/>
        <v>20.785807579051323</v>
      </c>
      <c r="Q33" s="24">
        <f t="shared" si="8"/>
        <v>2.2069173800821047</v>
      </c>
      <c r="R33" s="29">
        <f t="shared" si="1"/>
        <v>4.1858075790513212</v>
      </c>
      <c r="S33" s="29">
        <f t="shared" si="9"/>
        <v>3.2069173800821056</v>
      </c>
      <c r="T33" s="25"/>
      <c r="U33" s="24">
        <f t="shared" si="10"/>
        <v>20.084583621779302</v>
      </c>
      <c r="V33" s="24">
        <f t="shared" si="11"/>
        <v>2.3510558064028317</v>
      </c>
      <c r="W33" s="29">
        <f t="shared" si="2"/>
        <v>3.4845836217793007</v>
      </c>
      <c r="X33" s="29">
        <f t="shared" si="12"/>
        <v>3.3510558064028326</v>
      </c>
      <c r="Y33" s="25"/>
      <c r="Z33" s="24">
        <f t="shared" si="13"/>
        <v>20.665425011286345</v>
      </c>
      <c r="AA33" s="24">
        <f t="shared" si="14"/>
        <v>2.302210348146577</v>
      </c>
      <c r="AB33" s="29">
        <f t="shared" si="3"/>
        <v>4.0654250112863437</v>
      </c>
      <c r="AC33" s="25">
        <f t="shared" si="15"/>
        <v>3.3022103481465779</v>
      </c>
    </row>
    <row r="34" spans="1:29" x14ac:dyDescent="0.3">
      <c r="A34" s="13" t="s">
        <v>89</v>
      </c>
      <c r="B34" s="1" t="s">
        <v>60</v>
      </c>
      <c r="C34" s="1" t="s">
        <v>44</v>
      </c>
      <c r="D34" s="1" t="s">
        <v>47</v>
      </c>
      <c r="E34" s="11">
        <v>16.600000000000001</v>
      </c>
      <c r="F34" s="10">
        <f>(('Env. and bio. parameters'!H34-'Env. and bio. parameters'!G34)+('Env. and bio. parameters'!G34-'Env. and bio. parameters'!I34))/2</f>
        <v>1.0000000000000009</v>
      </c>
      <c r="G34" s="1"/>
      <c r="H34" s="22">
        <v>0.63119999999999998</v>
      </c>
      <c r="I34" s="22">
        <v>4.3E-3</v>
      </c>
      <c r="K34" s="24">
        <f t="shared" si="4"/>
        <v>13.095165993217279</v>
      </c>
      <c r="L34" s="24">
        <f t="shared" si="5"/>
        <v>2.5793256784803735</v>
      </c>
      <c r="M34" s="25">
        <f t="shared" si="0"/>
        <v>-3.5048340067827226</v>
      </c>
      <c r="N34" s="25">
        <f t="shared" si="6"/>
        <v>3.5793256784803744</v>
      </c>
      <c r="O34" s="25"/>
      <c r="P34" s="24">
        <f t="shared" si="7"/>
        <v>14.620478234847326</v>
      </c>
      <c r="Q34" s="24">
        <f t="shared" si="8"/>
        <v>2.5811703304335487</v>
      </c>
      <c r="R34" s="25">
        <f t="shared" si="1"/>
        <v>-1.9795217651526755</v>
      </c>
      <c r="S34" s="25">
        <f t="shared" si="9"/>
        <v>3.5811703304335496</v>
      </c>
      <c r="T34" s="25"/>
      <c r="U34" s="24">
        <f t="shared" si="10"/>
        <v>13.530475872629154</v>
      </c>
      <c r="V34" s="24">
        <f t="shared" si="11"/>
        <v>2.7381742475617621</v>
      </c>
      <c r="W34" s="25">
        <f t="shared" si="2"/>
        <v>-3.0695241273708476</v>
      </c>
      <c r="X34" s="25">
        <f t="shared" si="12"/>
        <v>3.738174247561763</v>
      </c>
      <c r="Y34" s="25"/>
      <c r="Z34" s="24">
        <f t="shared" si="13"/>
        <v>14.242630594362822</v>
      </c>
      <c r="AA34" s="24">
        <f t="shared" si="14"/>
        <v>2.685328795210256</v>
      </c>
      <c r="AB34" s="25">
        <f t="shared" si="3"/>
        <v>-2.3573694056371792</v>
      </c>
      <c r="AC34" s="25">
        <f t="shared" si="15"/>
        <v>3.6853287952102569</v>
      </c>
    </row>
    <row r="35" spans="1:29" x14ac:dyDescent="0.3">
      <c r="A35" s="13" t="s">
        <v>95</v>
      </c>
      <c r="B35" s="1" t="s">
        <v>60</v>
      </c>
      <c r="C35" s="1" t="s">
        <v>44</v>
      </c>
      <c r="D35" s="1" t="s">
        <v>47</v>
      </c>
      <c r="E35" s="11">
        <v>17.3</v>
      </c>
      <c r="F35" s="10">
        <f>(('Env. and bio. parameters'!H35-'Env. and bio. parameters'!G35)+('Env. and bio. parameters'!G35-'Env. and bio. parameters'!I35))/2</f>
        <v>1</v>
      </c>
      <c r="G35" s="1"/>
      <c r="H35" s="22">
        <v>0.62480000000000002</v>
      </c>
      <c r="I35" s="22">
        <v>4.3E-3</v>
      </c>
      <c r="K35" s="24">
        <f t="shared" si="4"/>
        <v>15.034190133065465</v>
      </c>
      <c r="L35" s="24">
        <f t="shared" si="5"/>
        <v>2.6320985929740472</v>
      </c>
      <c r="M35" s="25">
        <f t="shared" si="0"/>
        <v>-2.2658098669345357</v>
      </c>
      <c r="N35" s="25">
        <f t="shared" si="6"/>
        <v>3.6320985929740472</v>
      </c>
      <c r="O35" s="25"/>
      <c r="P35" s="24">
        <f t="shared" si="7"/>
        <v>16.560798423262781</v>
      </c>
      <c r="Q35" s="24">
        <f t="shared" si="8"/>
        <v>2.6337345311205707</v>
      </c>
      <c r="R35" s="25">
        <f t="shared" si="1"/>
        <v>-0.73920157673721931</v>
      </c>
      <c r="S35" s="25">
        <f t="shared" si="9"/>
        <v>3.6337345311205707</v>
      </c>
      <c r="T35" s="25"/>
      <c r="U35" s="24">
        <f t="shared" si="10"/>
        <v>15.59017349044376</v>
      </c>
      <c r="V35" s="24">
        <f t="shared" si="11"/>
        <v>2.7976177242201636</v>
      </c>
      <c r="W35" s="25">
        <f t="shared" si="2"/>
        <v>-1.7098265095562404</v>
      </c>
      <c r="X35" s="25">
        <f t="shared" si="12"/>
        <v>3.7976177242201636</v>
      </c>
      <c r="Y35" s="25"/>
      <c r="Z35" s="24">
        <f t="shared" si="13"/>
        <v>16.262102993618953</v>
      </c>
      <c r="AA35" s="24">
        <f t="shared" si="14"/>
        <v>2.7423359252370232</v>
      </c>
      <c r="AB35" s="25">
        <f t="shared" si="3"/>
        <v>-1.0378970063810478</v>
      </c>
      <c r="AC35" s="25">
        <f t="shared" si="15"/>
        <v>3.7423359252370232</v>
      </c>
    </row>
    <row r="36" spans="1:29" x14ac:dyDescent="0.3">
      <c r="A36" s="13" t="s">
        <v>91</v>
      </c>
      <c r="B36" s="1" t="s">
        <v>60</v>
      </c>
      <c r="C36" s="1" t="s">
        <v>44</v>
      </c>
      <c r="D36" s="1" t="s">
        <v>47</v>
      </c>
      <c r="E36" s="11">
        <v>23.5</v>
      </c>
      <c r="F36" s="10">
        <f>(('Env. and bio. parameters'!H36-'Env. and bio. parameters'!G36)+('Env. and bio. parameters'!G36-'Env. and bio. parameters'!I36))/2</f>
        <v>1</v>
      </c>
      <c r="G36" s="1"/>
      <c r="H36" s="22">
        <v>0.59740000000000004</v>
      </c>
      <c r="I36" s="22">
        <v>4.7000000000000002E-3</v>
      </c>
      <c r="K36" s="24">
        <f t="shared" si="4"/>
        <v>23.804926270562873</v>
      </c>
      <c r="L36" s="24">
        <f t="shared" si="5"/>
        <v>3.1476954295706934</v>
      </c>
      <c r="M36" s="25">
        <f t="shared" si="0"/>
        <v>0.30492627056287347</v>
      </c>
      <c r="N36" s="25">
        <f t="shared" si="6"/>
        <v>4.1476954295706934</v>
      </c>
      <c r="O36" s="25"/>
      <c r="P36" s="24">
        <f t="shared" si="7"/>
        <v>25.335103935012398</v>
      </c>
      <c r="Q36" s="24">
        <f t="shared" si="8"/>
        <v>3.1482944086502651</v>
      </c>
      <c r="R36" s="25">
        <f t="shared" si="1"/>
        <v>1.8351039350123983</v>
      </c>
      <c r="S36" s="25">
        <f t="shared" si="9"/>
        <v>4.1482944086502656</v>
      </c>
      <c r="T36" s="25"/>
      <c r="U36" s="24">
        <f t="shared" si="10"/>
        <v>24.938692163546023</v>
      </c>
      <c r="V36" s="24">
        <f t="shared" si="11"/>
        <v>3.3645937876288809</v>
      </c>
      <c r="W36" s="25">
        <f t="shared" si="2"/>
        <v>1.4386921635460226</v>
      </c>
      <c r="X36" s="25">
        <f t="shared" si="12"/>
        <v>4.3645937876288805</v>
      </c>
      <c r="Y36" s="25"/>
      <c r="Z36" s="24">
        <f t="shared" si="13"/>
        <v>25.41599108387237</v>
      </c>
      <c r="AA36" s="24">
        <f t="shared" si="14"/>
        <v>3.2909478379319888</v>
      </c>
      <c r="AB36" s="25">
        <f t="shared" si="3"/>
        <v>1.9159910838723704</v>
      </c>
      <c r="AC36" s="25">
        <f t="shared" si="15"/>
        <v>4.2909478379319888</v>
      </c>
    </row>
    <row r="37" spans="1:29" x14ac:dyDescent="0.3">
      <c r="A37" s="13" t="s">
        <v>92</v>
      </c>
      <c r="B37" s="1" t="s">
        <v>60</v>
      </c>
      <c r="C37" s="1" t="s">
        <v>44</v>
      </c>
      <c r="D37" s="1" t="s">
        <v>47</v>
      </c>
      <c r="E37" s="11">
        <v>23.5</v>
      </c>
      <c r="F37" s="10">
        <f>(('Env. and bio. parameters'!H37-'Env. and bio. parameters'!G37)+('Env. and bio. parameters'!G37-'Env. and bio. parameters'!I37))/2</f>
        <v>1</v>
      </c>
      <c r="G37" s="1"/>
      <c r="H37" s="22">
        <v>0.60489999999999999</v>
      </c>
      <c r="I37" s="22">
        <v>4.7499999999999999E-3</v>
      </c>
      <c r="K37" s="24">
        <f t="shared" si="4"/>
        <v>21.324885131046472</v>
      </c>
      <c r="L37" s="24">
        <f t="shared" si="5"/>
        <v>3.1021417262640738</v>
      </c>
      <c r="M37" s="25">
        <f t="shared" si="0"/>
        <v>-2.1751148689535285</v>
      </c>
      <c r="N37" s="25">
        <f t="shared" si="6"/>
        <v>4.1021417262640743</v>
      </c>
      <c r="O37" s="25"/>
      <c r="P37" s="24">
        <f t="shared" si="7"/>
        <v>22.854437863026078</v>
      </c>
      <c r="Q37" s="24">
        <f t="shared" si="8"/>
        <v>3.1031142790760842</v>
      </c>
      <c r="R37" s="25">
        <f t="shared" si="1"/>
        <v>-0.64556213697392195</v>
      </c>
      <c r="S37" s="25">
        <f t="shared" si="9"/>
        <v>4.1031142790760846</v>
      </c>
      <c r="T37" s="25"/>
      <c r="U37" s="24">
        <f t="shared" si="10"/>
        <v>22.289904153561565</v>
      </c>
      <c r="V37" s="24">
        <f t="shared" si="11"/>
        <v>3.3105438658396258</v>
      </c>
      <c r="W37" s="25">
        <f t="shared" si="2"/>
        <v>-1.2100958464384348</v>
      </c>
      <c r="X37" s="25">
        <f t="shared" si="12"/>
        <v>4.3105438658396258</v>
      </c>
      <c r="Y37" s="25"/>
      <c r="Z37" s="24">
        <f t="shared" si="13"/>
        <v>22.824373357321349</v>
      </c>
      <c r="AA37" s="24">
        <f t="shared" si="14"/>
        <v>3.2400974267049469</v>
      </c>
      <c r="AB37" s="25">
        <f t="shared" si="3"/>
        <v>-0.67562664267865102</v>
      </c>
      <c r="AC37" s="25">
        <f t="shared" si="15"/>
        <v>4.2400974267049474</v>
      </c>
    </row>
    <row r="38" spans="1:29" x14ac:dyDescent="0.3">
      <c r="A38" s="13" t="s">
        <v>93</v>
      </c>
      <c r="B38" s="1" t="s">
        <v>60</v>
      </c>
      <c r="C38" s="1" t="s">
        <v>44</v>
      </c>
      <c r="D38" s="1" t="s">
        <v>47</v>
      </c>
      <c r="E38" s="11">
        <v>23.5</v>
      </c>
      <c r="F38" s="10">
        <f>(('Env. and bio. parameters'!H38-'Env. and bio. parameters'!G38)+('Env. and bio. parameters'!G38-'Env. and bio. parameters'!I38))/2</f>
        <v>1</v>
      </c>
      <c r="G38" s="1"/>
      <c r="H38" s="22">
        <v>0.60860000000000003</v>
      </c>
      <c r="I38" s="22">
        <v>6.5500000000000003E-3</v>
      </c>
      <c r="K38" s="24">
        <f t="shared" si="4"/>
        <v>20.124067790760137</v>
      </c>
      <c r="L38" s="24">
        <f t="shared" si="5"/>
        <v>4.2255722481950713</v>
      </c>
      <c r="M38" s="25">
        <f t="shared" si="0"/>
        <v>-3.3759322092398634</v>
      </c>
      <c r="N38" s="25">
        <f t="shared" si="6"/>
        <v>5.2255722481950713</v>
      </c>
      <c r="O38" s="25"/>
      <c r="P38" s="24">
        <f t="shared" si="7"/>
        <v>21.653208426865831</v>
      </c>
      <c r="Q38" s="24">
        <f t="shared" si="8"/>
        <v>4.2271475814272561</v>
      </c>
      <c r="R38" s="25">
        <f t="shared" si="1"/>
        <v>-1.8467915731341691</v>
      </c>
      <c r="S38" s="25">
        <f t="shared" si="9"/>
        <v>5.2271475814272561</v>
      </c>
      <c r="T38" s="25"/>
      <c r="U38" s="24">
        <f t="shared" si="10"/>
        <v>21.00891417972332</v>
      </c>
      <c r="V38" s="24">
        <f t="shared" si="11"/>
        <v>4.5059422073835069</v>
      </c>
      <c r="W38" s="25">
        <f t="shared" si="2"/>
        <v>-2.4910858202766804</v>
      </c>
      <c r="X38" s="25">
        <f t="shared" si="12"/>
        <v>5.5059422073835069</v>
      </c>
      <c r="Y38" s="25"/>
      <c r="Z38" s="24">
        <f t="shared" si="13"/>
        <v>21.570454417885969</v>
      </c>
      <c r="AA38" s="24">
        <f t="shared" si="14"/>
        <v>4.4113779169039145</v>
      </c>
      <c r="AB38" s="25">
        <f t="shared" si="3"/>
        <v>-1.9295455821140308</v>
      </c>
      <c r="AC38" s="25">
        <f t="shared" si="15"/>
        <v>5.4113779169039145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C28" sqref="C28"/>
    </sheetView>
  </sheetViews>
  <sheetFormatPr baseColWidth="10" defaultRowHeight="14.4" x14ac:dyDescent="0.3"/>
  <cols>
    <col min="1" max="1" width="18.44140625" customWidth="1"/>
    <col min="2" max="2" width="18.5546875" customWidth="1"/>
    <col min="3" max="3" width="21.21875" customWidth="1"/>
    <col min="4" max="5" width="18.33203125" customWidth="1"/>
  </cols>
  <sheetData>
    <row r="1" spans="1:5" ht="15" thickBot="1" x14ac:dyDescent="0.35">
      <c r="A1" t="s">
        <v>114</v>
      </c>
      <c r="B1" t="s">
        <v>120</v>
      </c>
      <c r="C1" t="s">
        <v>121</v>
      </c>
      <c r="D1" t="s">
        <v>122</v>
      </c>
      <c r="E1" t="s">
        <v>123</v>
      </c>
    </row>
    <row r="2" spans="1:5" s="27" customFormat="1" ht="15" thickTop="1" x14ac:dyDescent="0.3">
      <c r="A2" s="27" t="s">
        <v>118</v>
      </c>
    </row>
    <row r="3" spans="1:5" x14ac:dyDescent="0.3">
      <c r="A3" t="s">
        <v>127</v>
      </c>
      <c r="B3" s="21">
        <f>AVERAGE('Equation comparison'!M2:M38)</f>
        <v>-3.9282318134674421</v>
      </c>
      <c r="C3" s="21">
        <f>AVERAGE('Equation comparison'!R2:R38)</f>
        <v>-2.4090638516590488</v>
      </c>
      <c r="D3" s="21">
        <f>AVERAGE('Equation comparison'!W2:W38)</f>
        <v>-3.774614451032217</v>
      </c>
      <c r="E3" s="21">
        <f>AVERAGE('Equation comparison'!AB2:AB38)</f>
        <v>-2.9708864292868462</v>
      </c>
    </row>
    <row r="4" spans="1:5" x14ac:dyDescent="0.3">
      <c r="A4" t="s">
        <v>124</v>
      </c>
      <c r="B4" s="21">
        <f>2*(_xlfn.STDEV.S('Equation comparison'!M2:M38))/SQRT(37)</f>
        <v>1.1556853459901228</v>
      </c>
      <c r="C4" s="21">
        <f>2*(_xlfn.STDEV.S('Equation comparison'!R2:R38))/SQRT(37)</f>
        <v>1.156624773549396</v>
      </c>
      <c r="D4" s="21">
        <f>2*(_xlfn.STDEV.S('Equation comparison'!W2:W38))/SQRT(37)</f>
        <v>1.2394321491385547</v>
      </c>
      <c r="E4" s="21">
        <f>2*(_xlfn.STDEV.S('Equation comparison'!AB2:AB38))/SQRT(37)</f>
        <v>1.2094614523224025</v>
      </c>
    </row>
    <row r="5" spans="1:5" ht="15" thickBot="1" x14ac:dyDescent="0.35">
      <c r="A5" t="s">
        <v>116</v>
      </c>
      <c r="B5" s="26">
        <v>13</v>
      </c>
      <c r="C5">
        <v>9</v>
      </c>
      <c r="D5">
        <v>14</v>
      </c>
      <c r="E5">
        <v>13</v>
      </c>
    </row>
    <row r="6" spans="1:5" s="27" customFormat="1" ht="15" thickTop="1" x14ac:dyDescent="0.3">
      <c r="A6" s="27" t="s">
        <v>117</v>
      </c>
      <c r="B6" s="28"/>
    </row>
    <row r="7" spans="1:5" x14ac:dyDescent="0.3">
      <c r="A7" t="s">
        <v>115</v>
      </c>
      <c r="B7" s="21">
        <f>AVERAGE('Equation comparison'!M2:M16,'Equation comparison'!M20:M22)</f>
        <v>-5.5926696681463026</v>
      </c>
      <c r="C7" s="21">
        <f>AVERAGE('Equation comparison'!R2:R16,'Equation comparison'!R20:R22)</f>
        <v>-4.0745809759151186</v>
      </c>
      <c r="D7" s="21">
        <f>AVERAGE('Equation comparison'!W2:W16,'Equation comparison'!W20:W22)</f>
        <v>-5.5043900573937172</v>
      </c>
      <c r="E7" s="21">
        <f>AVERAGE('Equation comparison'!AB2:AB16,'Equation comparison'!AB20:AB22)</f>
        <v>-4.6791682684105851</v>
      </c>
    </row>
    <row r="8" spans="1:5" x14ac:dyDescent="0.3">
      <c r="A8" t="s">
        <v>124</v>
      </c>
      <c r="B8" s="21">
        <f>2*(_xlfn.STDEV.S('Equation comparison'!M2:M16,'Equation comparison'!M20:M22))/SQRT(18)</f>
        <v>1.6016131748013132</v>
      </c>
      <c r="C8" s="21">
        <f>2*(_xlfn.STDEV.S('Equation comparison'!R2:R16,'Equation comparison'!R20:R22))/SQRT(18)</f>
        <v>1.6026945648886368</v>
      </c>
      <c r="D8" s="21">
        <f>2*(_xlfn.STDEV.S('Equation comparison'!W2:W16,'Equation comparison'!W20:W22))/SQRT(18)</f>
        <v>1.7238798968134423</v>
      </c>
      <c r="E8" s="21">
        <f>2*(_xlfn.STDEV.S('Equation comparison'!AB2:AB16,'Equation comparison'!AB20:AB22))/SQRT(18)</f>
        <v>1.6797157613073652</v>
      </c>
    </row>
    <row r="9" spans="1:5" ht="15" thickBot="1" x14ac:dyDescent="0.35">
      <c r="A9" t="s">
        <v>116</v>
      </c>
      <c r="B9" s="21">
        <v>7</v>
      </c>
      <c r="C9">
        <v>5</v>
      </c>
      <c r="D9">
        <v>7</v>
      </c>
      <c r="E9">
        <v>7</v>
      </c>
    </row>
    <row r="10" spans="1:5" s="27" customFormat="1" ht="15" thickTop="1" x14ac:dyDescent="0.3">
      <c r="A10" s="27" t="s">
        <v>119</v>
      </c>
      <c r="B10" s="28"/>
    </row>
    <row r="11" spans="1:5" x14ac:dyDescent="0.3">
      <c r="A11" t="s">
        <v>115</v>
      </c>
      <c r="B11" s="21">
        <f>AVERAGE('Equation comparison'!M17:M19,'Equation comparison'!M23:M38)</f>
        <v>-2.3513959511400997</v>
      </c>
      <c r="C11" s="21">
        <f>AVERAGE('Equation comparison'!R17:R19,'Equation comparison'!R23:R38)</f>
        <v>-0.83120552341645559</v>
      </c>
      <c r="D11" s="21">
        <f>AVERAGE('Equation comparison'!W17:W19,'Equation comparison'!W23:W38)</f>
        <v>-2.135879666058162</v>
      </c>
      <c r="E11" s="21">
        <f>AVERAGE('Equation comparison'!AB17:AB19,'Equation comparison'!AB23:AB38)</f>
        <v>-1.3525141606433038</v>
      </c>
    </row>
    <row r="12" spans="1:5" x14ac:dyDescent="0.3">
      <c r="A12" t="s">
        <v>124</v>
      </c>
      <c r="B12" s="21">
        <f>2*(_xlfn.STDEV.S('Equation comparison'!M17:M19,'Equation comparison'!M23:M38))/SQRT(19)</f>
        <v>1.3307623886248623</v>
      </c>
      <c r="C12" s="21">
        <f>2*(_xlfn.STDEV.S('Equation comparison'!R17:R19,'Equation comparison'!R23:R38))/SQRT(19)</f>
        <v>1.3322218669874719</v>
      </c>
      <c r="D12" s="21">
        <f>2*(_xlfn.STDEV.S('Equation comparison'!W17:W19,'Equation comparison'!W23:W38))/SQRT(19)</f>
        <v>1.4482510536920072</v>
      </c>
      <c r="E12" s="21">
        <f>2*(_xlfn.STDEV.S('Equation comparison'!AB17:AB19,'Equation comparison'!AB23:AB38))/SQRT(19)</f>
        <v>1.4058329895506017</v>
      </c>
    </row>
    <row r="13" spans="1:5" ht="15" thickBot="1" x14ac:dyDescent="0.35">
      <c r="A13" t="s">
        <v>116</v>
      </c>
      <c r="B13" s="26">
        <v>6</v>
      </c>
      <c r="C13">
        <v>4</v>
      </c>
      <c r="D13">
        <v>7</v>
      </c>
      <c r="E13">
        <v>7</v>
      </c>
    </row>
    <row r="14" spans="1:5" s="27" customFormat="1" ht="15" thickTop="1" x14ac:dyDescent="0.3">
      <c r="A14" s="27" t="s">
        <v>126</v>
      </c>
      <c r="B14" s="28"/>
    </row>
    <row r="15" spans="1:5" x14ac:dyDescent="0.3">
      <c r="A15" t="s">
        <v>115</v>
      </c>
      <c r="B15" s="21">
        <f>AVERAGE('Equation comparison'!M13:M14,'Equation comparison'!M18,'Equation comparison'!M24,'Equation comparison'!M30:M38)</f>
        <v>-1.8183688610270332</v>
      </c>
      <c r="C15" s="21">
        <f>AVERAGE('Equation comparison'!R13:R14,'Equation comparison'!R18,'Equation comparison'!R24,'Equation comparison'!R30:R38)</f>
        <v>-0.29372612213114746</v>
      </c>
      <c r="D15" s="21">
        <f>AVERAGE('Equation comparison'!W13:W14,'Equation comparison'!W18,'Equation comparison'!W24,'Equation comparison'!W30:W38)</f>
        <v>-1.3266990393535052</v>
      </c>
      <c r="E15" s="21">
        <f>AVERAGE('Equation comparison'!AB13:AB14,'Equation comparison'!AB18,'Equation comparison'!AB24,'Equation comparison'!AB30:AB38)</f>
        <v>-0.63428773043468201</v>
      </c>
    </row>
    <row r="16" spans="1:5" x14ac:dyDescent="0.3">
      <c r="A16" t="s">
        <v>124</v>
      </c>
      <c r="B16" s="21">
        <f>2*(_xlfn.STDEV.S('Equation comparison'!M13:M14,'Equation comparison'!M18,'Equation comparison'!M24,'Equation comparison'!M30:M38))/SQRT(13)</f>
        <v>1.3565871766766484</v>
      </c>
      <c r="C16" s="21">
        <f>2*(_xlfn.STDEV.S('Equation comparison'!R13:R14,'Equation comparison'!R18,'Equation comparison'!R24,'Equation comparison'!R30:R38))/SQRT(13)</f>
        <v>1.3577527077242413</v>
      </c>
      <c r="D16" s="21">
        <f>2*(_xlfn.STDEV.S('Equation comparison'!W13:W14,'Equation comparison'!W18,'Equation comparison'!W24,'Equation comparison'!W30:W38))/SQRT(13)</f>
        <v>1.468455664211781</v>
      </c>
      <c r="E16" s="21">
        <f>2*(_xlfn.STDEV.S('Equation comparison'!AB13:AB14,'Equation comparison'!AB18,'Equation comparison'!AB24,'Equation comparison'!AB30:AB38))/SQRT(13)</f>
        <v>1.4278815354492802</v>
      </c>
    </row>
    <row r="17" spans="1:5" ht="15" thickBot="1" x14ac:dyDescent="0.35">
      <c r="A17" t="s">
        <v>116</v>
      </c>
      <c r="B17" s="26">
        <v>2</v>
      </c>
      <c r="C17">
        <v>2</v>
      </c>
      <c r="D17">
        <v>3</v>
      </c>
      <c r="E17">
        <v>2</v>
      </c>
    </row>
    <row r="18" spans="1:5" s="27" customFormat="1" ht="15" thickTop="1" x14ac:dyDescent="0.3">
      <c r="A18" s="27" t="s">
        <v>125</v>
      </c>
      <c r="B18" s="28"/>
    </row>
    <row r="19" spans="1:5" x14ac:dyDescent="0.3">
      <c r="A19" t="s">
        <v>115</v>
      </c>
      <c r="B19" s="21">
        <f>AVERAGE('Equation comparison'!M2:M3,'Equation comparison'!M5:M6,'Equation comparison'!M9:M12,'Equation comparison'!M15,'Equation comparison'!M17,'Equation comparison'!M20:M23,'Equation comparison'!M25:M29)</f>
        <v>-5.5980544182597738</v>
      </c>
      <c r="C19" s="21">
        <f>AVERAGE('Equation comparison'!R2:R3,'Equation comparison'!R5:R6,'Equation comparison'!R9:R12,'Equation comparison'!R15,'Equation comparison'!R17,'Equation comparison'!R20:R23,'Equation comparison'!R25:R29)</f>
        <v>-4.0831663686002235</v>
      </c>
      <c r="D19" s="21">
        <f>AVERAGE('Equation comparison'!W2:W3,'Equation comparison'!W5:W6,'Equation comparison'!W9:W12,'Equation comparison'!W15,'Equation comparison'!W17,'Equation comparison'!W20:W23,'Equation comparison'!W25:W29)</f>
        <v>-5.7320849470907351</v>
      </c>
      <c r="E19" s="21">
        <f>AVERAGE('Equation comparison'!AB2:AB3,'Equation comparison'!AB5:AB6,'Equation comparison'!AB9:AB12,'Equation comparison'!AB15,'Equation comparison'!AB17,'Equation comparison'!AB20:AB23,'Equation comparison'!AB25:AB29)</f>
        <v>-4.8333476198296852</v>
      </c>
    </row>
    <row r="20" spans="1:5" x14ac:dyDescent="0.3">
      <c r="A20" t="s">
        <v>124</v>
      </c>
      <c r="B20" s="21">
        <f>2*(_xlfn.STDEV.S('Equation comparison'!M2:M3,'Equation comparison'!M5:M6,'Equation comparison'!M9:M12,'Equation comparison'!M15,'Equation comparison'!M17,'Equation comparison'!M20:M23,'Equation comparison'!M25:M29))/SQRT(19)</f>
        <v>1.6871831441129581</v>
      </c>
      <c r="C20" s="21">
        <f>2*(_xlfn.STDEV.S('Equation comparison'!R2:R3,'Equation comparison'!R5:R6,'Equation comparison'!R9:R12,'Equation comparison'!R15,'Equation comparison'!R17,'Equation comparison'!R20:R23,'Equation comparison'!R25:R29))/SQRT(19)</f>
        <v>1.6869314667043682</v>
      </c>
      <c r="D20" s="21">
        <f>2*(_xlfn.STDEV.S('Equation comparison'!W2:W3,'Equation comparison'!W5:W6,'Equation comparison'!W9:W12,'Equation comparison'!W15,'Equation comparison'!W17,'Equation comparison'!W20:W23,'Equation comparison'!W25:W29))/SQRT(19)</f>
        <v>1.6907629066797309</v>
      </c>
      <c r="E20" s="21">
        <f>2*(_xlfn.STDEV.S('Equation comparison'!AB2:AB3,'Equation comparison'!AB5:AB6,'Equation comparison'!AB9:AB12,'Equation comparison'!AB15,'Equation comparison'!AB17,'Equation comparison'!AB20:AB23,'Equation comparison'!AB25:AB29))/SQRT(19)</f>
        <v>1.687496676350041</v>
      </c>
    </row>
    <row r="21" spans="1:5" x14ac:dyDescent="0.3">
      <c r="A21" t="s">
        <v>116</v>
      </c>
      <c r="B21" s="26">
        <v>9</v>
      </c>
      <c r="C21">
        <v>7</v>
      </c>
      <c r="D21">
        <v>10</v>
      </c>
      <c r="E21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Description</vt:lpstr>
      <vt:lpstr>Env. and bio. parameters</vt:lpstr>
      <vt:lpstr>Geochemical data</vt:lpstr>
      <vt:lpstr>Equation comparison</vt:lpstr>
      <vt:lpstr>T offset per dataset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2023-03-15T16:47:44Z</dcterms:modified>
</cp:coreProperties>
</file>